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Hoja1" sheetId="1" r:id="rId1"/>
    <sheet name="Hoja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8" i="1" l="1"/>
  <c r="C98" i="1"/>
  <c r="G88" i="1"/>
  <c r="G90" i="1"/>
  <c r="G89" i="1"/>
  <c r="G87" i="1"/>
  <c r="G84" i="1"/>
  <c r="G80" i="1"/>
  <c r="G79" i="1"/>
  <c r="C97" i="1"/>
  <c r="C94" i="1"/>
  <c r="C90" i="1"/>
  <c r="C89" i="1"/>
  <c r="D18" i="1"/>
  <c r="L79" i="1"/>
  <c r="K79" i="1"/>
  <c r="J79" i="1"/>
  <c r="G8" i="2"/>
  <c r="G11" i="2"/>
  <c r="D12" i="2"/>
  <c r="F70" i="1"/>
  <c r="F53" i="1"/>
  <c r="E70" i="1"/>
  <c r="E53" i="1"/>
  <c r="D70" i="1"/>
  <c r="F69" i="1"/>
  <c r="E69" i="1"/>
  <c r="D69" i="1"/>
  <c r="D53" i="1"/>
  <c r="C70" i="1"/>
  <c r="C69" i="1"/>
  <c r="G59" i="1"/>
  <c r="F59" i="1"/>
  <c r="E59" i="1"/>
  <c r="D59" i="1"/>
  <c r="I37" i="2"/>
  <c r="H37" i="2"/>
  <c r="G37" i="2"/>
  <c r="F37" i="2"/>
  <c r="I36" i="2"/>
  <c r="H36" i="2"/>
  <c r="G36" i="2"/>
  <c r="F36" i="2"/>
  <c r="I35" i="2"/>
  <c r="H35" i="2"/>
  <c r="G35" i="2"/>
  <c r="F35" i="2"/>
  <c r="I34" i="2"/>
  <c r="H34" i="2"/>
  <c r="G34" i="2"/>
  <c r="F34" i="2"/>
  <c r="H33" i="2"/>
  <c r="I33" i="2"/>
  <c r="G33" i="2"/>
  <c r="F33" i="2"/>
  <c r="H32" i="2"/>
  <c r="I32" i="2"/>
  <c r="G32" i="2"/>
  <c r="F32" i="2"/>
  <c r="G30" i="2"/>
  <c r="H30" i="2"/>
  <c r="I30" i="2"/>
  <c r="F30" i="2"/>
  <c r="D68" i="1"/>
  <c r="E68" i="1"/>
  <c r="F68" i="1"/>
  <c r="C68" i="1"/>
  <c r="D67" i="1"/>
  <c r="E67" i="1"/>
  <c r="F67" i="1"/>
  <c r="C67" i="1"/>
  <c r="E66" i="1"/>
  <c r="F66" i="1" s="1"/>
  <c r="D66" i="1"/>
  <c r="C66" i="1"/>
  <c r="D26" i="2"/>
  <c r="D25" i="2"/>
  <c r="D20" i="2"/>
  <c r="D13" i="2"/>
  <c r="N17" i="2"/>
  <c r="N16" i="2"/>
  <c r="D65" i="1"/>
  <c r="C65" i="1"/>
  <c r="O13" i="2"/>
  <c r="O12" i="2"/>
  <c r="O11" i="2"/>
  <c r="E65" i="1"/>
  <c r="F65" i="1"/>
  <c r="C47" i="1"/>
  <c r="F58" i="1"/>
  <c r="G58" i="1" s="1"/>
  <c r="E58" i="1"/>
  <c r="D58" i="1"/>
  <c r="H24" i="2"/>
  <c r="C64" i="1" l="1"/>
  <c r="O7" i="2"/>
  <c r="O9" i="2"/>
  <c r="O8" i="2"/>
  <c r="E63" i="1"/>
  <c r="F63" i="1" s="1"/>
  <c r="D63" i="1"/>
  <c r="C63" i="1"/>
  <c r="L10" i="2"/>
  <c r="L9" i="2"/>
  <c r="L7" i="2"/>
  <c r="I12" i="2"/>
  <c r="G60" i="1"/>
  <c r="F60" i="1"/>
  <c r="E60" i="1"/>
  <c r="D60" i="1"/>
  <c r="I26" i="2"/>
  <c r="I25" i="2"/>
  <c r="K25" i="2"/>
  <c r="G23" i="2"/>
  <c r="L25" i="2"/>
  <c r="I24" i="2"/>
  <c r="I23" i="2"/>
  <c r="C62" i="1" l="1"/>
  <c r="G25" i="2"/>
  <c r="G24" i="2"/>
  <c r="G22" i="2"/>
  <c r="K18" i="2"/>
  <c r="K17" i="2"/>
  <c r="J18" i="2"/>
  <c r="F61" i="1"/>
  <c r="E61" i="1"/>
  <c r="D61" i="1"/>
  <c r="C61" i="1"/>
  <c r="F55" i="1"/>
  <c r="E55" i="1"/>
  <c r="D55" i="1"/>
  <c r="C55" i="1"/>
  <c r="E48" i="1"/>
  <c r="F48" i="1"/>
  <c r="D48" i="1"/>
  <c r="C48" i="1"/>
  <c r="D47" i="1"/>
  <c r="H13" i="2"/>
  <c r="C46" i="1"/>
  <c r="C49" i="1" s="1"/>
  <c r="C50" i="1" s="1"/>
  <c r="H12" i="2"/>
  <c r="D43" i="1"/>
  <c r="E43" i="1"/>
  <c r="F43" i="1"/>
  <c r="C43" i="1"/>
  <c r="D41" i="1"/>
  <c r="E41" i="1"/>
  <c r="F41" i="1"/>
  <c r="C41" i="1"/>
  <c r="E35" i="1"/>
  <c r="F35" i="1"/>
  <c r="D35" i="1"/>
  <c r="C35" i="1"/>
  <c r="D33" i="1"/>
  <c r="E33" i="1"/>
  <c r="F33" i="1"/>
  <c r="C33" i="1"/>
  <c r="F30" i="1"/>
  <c r="E30" i="1"/>
  <c r="D30" i="1"/>
  <c r="C30" i="1"/>
  <c r="G29" i="1"/>
  <c r="F29" i="1"/>
  <c r="F28" i="1"/>
  <c r="D28" i="1"/>
  <c r="C27" i="1"/>
  <c r="C29" i="1" s="1"/>
  <c r="E26" i="1"/>
  <c r="C26" i="1"/>
  <c r="F25" i="1"/>
  <c r="F26" i="1" s="1"/>
  <c r="E25" i="1"/>
  <c r="E27" i="1" s="1"/>
  <c r="E29" i="1" s="1"/>
  <c r="D25" i="1"/>
  <c r="C25" i="1"/>
  <c r="D16" i="2"/>
  <c r="G12" i="2"/>
  <c r="D14" i="2"/>
  <c r="I9" i="2"/>
  <c r="I8" i="2"/>
  <c r="H9" i="2"/>
  <c r="H10" i="2"/>
  <c r="H11" i="2"/>
  <c r="H8" i="2"/>
  <c r="G10" i="2"/>
  <c r="G9" i="2"/>
  <c r="D10" i="2"/>
  <c r="C16" i="1"/>
  <c r="I15" i="1"/>
  <c r="D16" i="1"/>
  <c r="D15" i="1"/>
  <c r="C11" i="1"/>
  <c r="C14" i="1" s="1"/>
  <c r="C17" i="1" s="1"/>
  <c r="C18" i="1" s="1"/>
  <c r="D10" i="1"/>
  <c r="E10" i="1" s="1"/>
  <c r="E9" i="1"/>
  <c r="D9" i="1"/>
  <c r="D8" i="1"/>
  <c r="E8" i="1" s="1"/>
  <c r="D15" i="2" l="1"/>
  <c r="D17" i="2" s="1"/>
  <c r="D22" i="2"/>
  <c r="E47" i="1"/>
  <c r="D49" i="1"/>
  <c r="D50" i="1" s="1"/>
  <c r="D27" i="1"/>
  <c r="C19" i="1"/>
  <c r="C20" i="1"/>
  <c r="D21" i="1" s="1"/>
  <c r="F27" i="1"/>
  <c r="D26" i="1"/>
  <c r="D11" i="1"/>
  <c r="D14" i="1" s="1"/>
  <c r="D17" i="1"/>
  <c r="E15" i="1"/>
  <c r="E16" i="1"/>
  <c r="E11" i="1"/>
  <c r="E14" i="1" s="1"/>
  <c r="F8" i="1"/>
  <c r="F9" i="1"/>
  <c r="F10" i="1"/>
  <c r="F47" i="1" l="1"/>
  <c r="F49" i="1" s="1"/>
  <c r="F50" i="1" s="1"/>
  <c r="E49" i="1"/>
  <c r="E50" i="1" s="1"/>
  <c r="G50" i="1" s="1"/>
  <c r="D19" i="1"/>
  <c r="D20" i="1"/>
  <c r="E28" i="1"/>
  <c r="D29" i="1"/>
  <c r="E17" i="1"/>
  <c r="E18" i="1" s="1"/>
  <c r="F15" i="1"/>
  <c r="F16" i="1"/>
  <c r="F11" i="1"/>
  <c r="F14" i="1" s="1"/>
  <c r="E19" i="1" l="1"/>
  <c r="E20" i="1"/>
  <c r="F17" i="1"/>
  <c r="F18" i="1" s="1"/>
  <c r="F19" i="1" l="1"/>
  <c r="F20" i="1"/>
</calcChain>
</file>

<file path=xl/sharedStrings.xml><?xml version="1.0" encoding="utf-8"?>
<sst xmlns="http://schemas.openxmlformats.org/spreadsheetml/2006/main" count="185" uniqueCount="141">
  <si>
    <t>Suposto Práctico: ALU-BIKE S.A.</t>
  </si>
  <si>
    <t>SOLUCIÓN</t>
  </si>
  <si>
    <t>PRESUPOSTO DE PRODUCIÓN</t>
  </si>
  <si>
    <t>4º TRIMESTRE</t>
  </si>
  <si>
    <t>UDS A VENDER</t>
  </si>
  <si>
    <t>E.I.</t>
  </si>
  <si>
    <t>E.F.</t>
  </si>
  <si>
    <t>UDS A PRODUCIR</t>
  </si>
  <si>
    <t>1º TRIM</t>
  </si>
  <si>
    <t>3º TRIME</t>
  </si>
  <si>
    <t>2º TRIMES</t>
  </si>
  <si>
    <t>PRESUPOSTO COMPRA M.P.</t>
  </si>
  <si>
    <t>CONSUMO M.P.</t>
  </si>
  <si>
    <t>UDS A COMPRAR</t>
  </si>
  <si>
    <t>15 DIAS DE PRODUCIÓN</t>
  </si>
  <si>
    <t>IMPORTE</t>
  </si>
  <si>
    <t>CÁLCULOS</t>
  </si>
  <si>
    <t xml:space="preserve">MP </t>
  </si>
  <si>
    <t>TEMOS 200 QUILOS DE 20 €</t>
  </si>
  <si>
    <t>COMPRAMOS A 25 €/Q</t>
  </si>
  <si>
    <t>COSTE PT</t>
  </si>
  <si>
    <t>SALARIOS</t>
  </si>
  <si>
    <t>S.S 33%</t>
  </si>
  <si>
    <t>GTOS FAB</t>
  </si>
  <si>
    <t>AMORT</t>
  </si>
  <si>
    <t>AMORT M</t>
  </si>
  <si>
    <t>ELE TRANS</t>
  </si>
  <si>
    <t>ANO</t>
  </si>
  <si>
    <t>MOBILIARIO</t>
  </si>
  <si>
    <t>APPS</t>
  </si>
  <si>
    <t>TRIMESTRAL</t>
  </si>
  <si>
    <t>AMOR</t>
  </si>
  <si>
    <t>COM</t>
  </si>
  <si>
    <t>TOTAL AMOR</t>
  </si>
  <si>
    <t>COMBUSTIBLE</t>
  </si>
  <si>
    <t>TOT TRIM</t>
  </si>
  <si>
    <t>CI/UNID</t>
  </si>
  <si>
    <t>TOTAL C/U</t>
  </si>
  <si>
    <t>EXIS FINAIS SON TODAS DESTE CUSTO</t>
  </si>
  <si>
    <t>2º TRIME</t>
  </si>
  <si>
    <t>MP</t>
  </si>
  <si>
    <t>TOTAL</t>
  </si>
  <si>
    <t>3º E 4º TRIMESTRE IGUAL</t>
  </si>
  <si>
    <t>IVE</t>
  </si>
  <si>
    <t>BALANCE</t>
  </si>
  <si>
    <t>PAGO BALANCE</t>
  </si>
  <si>
    <t>PRESUPOSTO VENDAS</t>
  </si>
  <si>
    <t>UNID</t>
  </si>
  <si>
    <t>COBRO</t>
  </si>
  <si>
    <t>TRIM</t>
  </si>
  <si>
    <t>COBRO TOTAL</t>
  </si>
  <si>
    <t>CONTA DE RESULTADOS</t>
  </si>
  <si>
    <t>INGRESOS</t>
  </si>
  <si>
    <t>GASTOS</t>
  </si>
  <si>
    <t>COMPRAS MP</t>
  </si>
  <si>
    <t>EXIST INI MP</t>
  </si>
  <si>
    <t>EXIS FINAI 1T</t>
  </si>
  <si>
    <t>EXIST FINA MP</t>
  </si>
  <si>
    <t>EXIS INI PT</t>
  </si>
  <si>
    <t>EXIS FINAIS PT</t>
  </si>
  <si>
    <t>EXIS FIN 2T</t>
  </si>
  <si>
    <t>SALARIO OPERARIOS</t>
  </si>
  <si>
    <t>SS OPERAR</t>
  </si>
  <si>
    <t>SALARIO ADVOS</t>
  </si>
  <si>
    <t>SS ADVOS</t>
  </si>
  <si>
    <t>GTOS FABRICACION</t>
  </si>
  <si>
    <t>GTOS ADMÓN</t>
  </si>
  <si>
    <t>AMORTIZACION</t>
  </si>
  <si>
    <t>INTERESES</t>
  </si>
  <si>
    <t>TOTAL GASTOS</t>
  </si>
  <si>
    <t>RTADO</t>
  </si>
  <si>
    <t>RTADO ANUAL</t>
  </si>
  <si>
    <t>TESOURARIA</t>
  </si>
  <si>
    <t>SDO INICIAL</t>
  </si>
  <si>
    <t>COBROS</t>
  </si>
  <si>
    <t>CLIENTES</t>
  </si>
  <si>
    <t>PROVEDORES</t>
  </si>
  <si>
    <t>SS</t>
  </si>
  <si>
    <t>IRPF</t>
  </si>
  <si>
    <t>SS TRA</t>
  </si>
  <si>
    <t>LIQUIDO</t>
  </si>
  <si>
    <t>PAGOS</t>
  </si>
  <si>
    <t>FP ACRD X RET</t>
  </si>
  <si>
    <t>FP ACRD X IVE</t>
  </si>
  <si>
    <t>ORG. SS ACRED</t>
  </si>
  <si>
    <t>ORGANIS SS ACRDORES</t>
  </si>
  <si>
    <t>S.S EMP OPERARIOS</t>
  </si>
  <si>
    <t>SS EMP ADVOS</t>
  </si>
  <si>
    <t>SS TRAB</t>
  </si>
  <si>
    <t>ALUGUER</t>
  </si>
  <si>
    <t>RET</t>
  </si>
  <si>
    <t>TOTAL FRA</t>
  </si>
  <si>
    <t>OUT GTOS FCACION</t>
  </si>
  <si>
    <t>O GTOS FCI</t>
  </si>
  <si>
    <t>TOTAL RET</t>
  </si>
  <si>
    <t>COMBUSTI</t>
  </si>
  <si>
    <t>AMOR DEUDA BCOS</t>
  </si>
  <si>
    <t>LIQUIDACION IVE</t>
  </si>
  <si>
    <t>2º TRIM</t>
  </si>
  <si>
    <t>3º TRIM</t>
  </si>
  <si>
    <t>4º TRIM</t>
  </si>
  <si>
    <t>DEVENGA</t>
  </si>
  <si>
    <t>DEDUCIBLE</t>
  </si>
  <si>
    <t>COMPRAS</t>
  </si>
  <si>
    <t>GTOS FCION</t>
  </si>
  <si>
    <t>GTOS ADMON</t>
  </si>
  <si>
    <t>TOTAL DEDUC</t>
  </si>
  <si>
    <t>TOTAL PAGOS</t>
  </si>
  <si>
    <t>SADO</t>
  </si>
  <si>
    <t>BALANCE SITUACION</t>
  </si>
  <si>
    <t>APLICACIÓN INF</t>
  </si>
  <si>
    <t>A.I. INTANX</t>
  </si>
  <si>
    <t>INMOB INTANX</t>
  </si>
  <si>
    <t>ACTIVO/ NON CORRENTE</t>
  </si>
  <si>
    <t>I MATERIAL</t>
  </si>
  <si>
    <t>MAQUINARIA</t>
  </si>
  <si>
    <t>A A. I. MATERIA</t>
  </si>
  <si>
    <t>AA MAQUI</t>
  </si>
  <si>
    <t>ELEMENTOS TRANS</t>
  </si>
  <si>
    <t>E. TRANS</t>
  </si>
  <si>
    <t>ACTIVO CORRENTE</t>
  </si>
  <si>
    <t>EXSTENCIAS</t>
  </si>
  <si>
    <t>M. P.</t>
  </si>
  <si>
    <t xml:space="preserve">P. T. </t>
  </si>
  <si>
    <t>REALIZABLE</t>
  </si>
  <si>
    <t>DISPOÑIBLE</t>
  </si>
  <si>
    <t>BANCOS C/C</t>
  </si>
  <si>
    <t>P N  + PASIVO</t>
  </si>
  <si>
    <t xml:space="preserve">P. N. </t>
  </si>
  <si>
    <t>CAPITAL SOCIAL</t>
  </si>
  <si>
    <t>RESERVAS VOLUNT</t>
  </si>
  <si>
    <t>RESERVAS LEGAIS</t>
  </si>
  <si>
    <t>RTADO EXERCICIO</t>
  </si>
  <si>
    <t xml:space="preserve">PASIVO </t>
  </si>
  <si>
    <t>PASIVO NON CORRE</t>
  </si>
  <si>
    <t>DÉBEDAS L/P E.C.</t>
  </si>
  <si>
    <t>PASIVO CORRENTE</t>
  </si>
  <si>
    <t>FP ACRED X IVE</t>
  </si>
  <si>
    <t>DÉBEDAS C/P E.C</t>
  </si>
  <si>
    <t>TOTAL ACTIVO</t>
  </si>
  <si>
    <t>TOTAL PN + PASIVO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</si>
</sst>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6" formatCode="_-* #,##0_-;\-* #,##0_-;_-* &quot;-&quot;??_-;_-@_-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Times New Roman"/>
      <family val="1"/>
    </font>
    <font>
      <b/>
      <sz val="14"/>
      <color theme="1"/>
      <name val="Aptos Narrow"/>
      <family val="2"/>
      <scheme val="minor"/>
    </font>
    <font>
      <b/>
      <sz val="11"/>
      <color theme="3"/>
      <name val="Aptos Narrow"/>
      <scheme val="minor"/>
    </font>
    <font>
      <b/>
      <sz val="11"/>
      <color theme="1"/>
      <name val="Aptos Narrow"/>
      <scheme val="minor"/>
    </font>
    <font>
      <b/>
      <sz val="11"/>
      <color rgb="FFC00000"/>
      <name val="Aptos Narrow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0" xfId="0" applyFont="1"/>
    <xf numFmtId="164" fontId="0" fillId="0" borderId="0" xfId="1" applyFont="1"/>
    <xf numFmtId="164" fontId="2" fillId="0" borderId="0" xfId="1" applyFont="1"/>
    <xf numFmtId="10" fontId="0" fillId="0" borderId="0" xfId="1" applyNumberFormat="1" applyFont="1"/>
    <xf numFmtId="9" fontId="0" fillId="0" borderId="0" xfId="1" applyNumberFormat="1" applyFont="1"/>
    <xf numFmtId="0" fontId="5" fillId="0" borderId="0" xfId="0" applyFont="1"/>
    <xf numFmtId="164" fontId="5" fillId="0" borderId="0" xfId="1" applyFont="1"/>
    <xf numFmtId="164" fontId="6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1" applyFont="1" applyAlignment="1">
      <alignment horizontal="center"/>
    </xf>
    <xf numFmtId="164" fontId="7" fillId="0" borderId="0" xfId="1" applyFont="1"/>
    <xf numFmtId="164" fontId="8" fillId="0" borderId="0" xfId="1" applyFont="1"/>
    <xf numFmtId="166" fontId="0" fillId="0" borderId="0" xfId="1" applyNumberFormat="1" applyFont="1"/>
    <xf numFmtId="166" fontId="6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90"/>
  <sheetViews>
    <sheetView tabSelected="1" topLeftCell="A70" workbookViewId="0">
      <selection activeCell="K101" sqref="K101"/>
    </sheetView>
  </sheetViews>
  <sheetFormatPr baseColWidth="10" defaultRowHeight="14.25"/>
  <cols>
    <col min="2" max="2" width="18.75" customWidth="1"/>
    <col min="3" max="3" width="13.25" customWidth="1"/>
    <col min="4" max="4" width="12.375" customWidth="1"/>
    <col min="5" max="5" width="12.75" customWidth="1"/>
    <col min="6" max="6" width="18.875" customWidth="1"/>
    <col min="7" max="7" width="13.5" customWidth="1"/>
  </cols>
  <sheetData>
    <row r="3" spans="2:18" ht="22.5">
      <c r="C3" s="1" t="s">
        <v>0</v>
      </c>
      <c r="G3" s="2" t="s">
        <v>1</v>
      </c>
      <c r="H3" s="3"/>
    </row>
    <row r="5" spans="2:18" ht="15">
      <c r="B5" s="3" t="s">
        <v>2</v>
      </c>
    </row>
    <row r="6" spans="2:18" ht="15">
      <c r="B6" s="3"/>
      <c r="C6" s="3" t="s">
        <v>8</v>
      </c>
      <c r="D6" s="3" t="s">
        <v>10</v>
      </c>
      <c r="E6" s="3" t="s">
        <v>9</v>
      </c>
      <c r="F6" s="3" t="s">
        <v>3</v>
      </c>
    </row>
    <row r="7" spans="2:18">
      <c r="C7" s="4"/>
      <c r="D7" s="4"/>
      <c r="E7" s="4"/>
      <c r="F7" s="4"/>
    </row>
    <row r="8" spans="2:18">
      <c r="B8" t="s">
        <v>4</v>
      </c>
      <c r="C8" s="4">
        <v>300</v>
      </c>
      <c r="D8" s="4">
        <f>C8</f>
        <v>300</v>
      </c>
      <c r="E8" s="4">
        <f t="shared" ref="E8:F8" si="0">D8</f>
        <v>300</v>
      </c>
      <c r="F8" s="4">
        <f t="shared" si="0"/>
        <v>300</v>
      </c>
    </row>
    <row r="9" spans="2:18">
      <c r="B9" t="s">
        <v>5</v>
      </c>
      <c r="C9" s="4">
        <v>50</v>
      </c>
      <c r="D9" s="4">
        <f>C10</f>
        <v>80</v>
      </c>
      <c r="E9" s="4">
        <f t="shared" ref="E9:F9" si="1">D10</f>
        <v>80</v>
      </c>
      <c r="F9" s="4">
        <f t="shared" si="1"/>
        <v>80</v>
      </c>
    </row>
    <row r="10" spans="2:18">
      <c r="B10" t="s">
        <v>6</v>
      </c>
      <c r="C10" s="4">
        <v>80</v>
      </c>
      <c r="D10" s="4">
        <f>C10</f>
        <v>80</v>
      </c>
      <c r="E10" s="4">
        <f t="shared" ref="E10:F10" si="2">D10</f>
        <v>80</v>
      </c>
      <c r="F10" s="4">
        <f t="shared" si="2"/>
        <v>80</v>
      </c>
    </row>
    <row r="11" spans="2:18">
      <c r="B11" t="s">
        <v>7</v>
      </c>
      <c r="C11" s="4">
        <f>C8-C9+C10</f>
        <v>330</v>
      </c>
      <c r="D11" s="4">
        <f>D8-D9+D10</f>
        <v>300</v>
      </c>
      <c r="E11" s="4">
        <f t="shared" ref="E11:F11" si="3">E8-E9+E10</f>
        <v>300</v>
      </c>
      <c r="F11" s="4">
        <f t="shared" si="3"/>
        <v>300</v>
      </c>
    </row>
    <row r="13" spans="2:18" ht="15">
      <c r="B13" s="3" t="s">
        <v>11</v>
      </c>
      <c r="C13" s="4"/>
      <c r="D13" s="4"/>
      <c r="E13" s="4"/>
      <c r="F13" s="4"/>
    </row>
    <row r="14" spans="2:18">
      <c r="B14" t="s">
        <v>12</v>
      </c>
      <c r="C14" s="4">
        <f>C11*4</f>
        <v>1320</v>
      </c>
      <c r="D14" s="4">
        <f>D11*4</f>
        <v>1200</v>
      </c>
      <c r="E14" s="4">
        <f t="shared" ref="E14:F14" si="4">E11*4</f>
        <v>1200</v>
      </c>
      <c r="F14" s="4">
        <f t="shared" si="4"/>
        <v>1200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2:18">
      <c r="B15" t="s">
        <v>5</v>
      </c>
      <c r="C15" s="4">
        <v>200</v>
      </c>
      <c r="D15" s="4">
        <f>C16</f>
        <v>200</v>
      </c>
      <c r="E15" s="4">
        <f t="shared" ref="E15:F15" si="5">D16</f>
        <v>200</v>
      </c>
      <c r="F15" s="4">
        <f t="shared" si="5"/>
        <v>200</v>
      </c>
      <c r="G15" s="4" t="s">
        <v>14</v>
      </c>
      <c r="H15" s="4"/>
      <c r="I15" s="4">
        <f>300/6</f>
        <v>50</v>
      </c>
      <c r="J15" s="4"/>
      <c r="K15" s="4"/>
      <c r="L15" s="4"/>
      <c r="M15" s="4"/>
      <c r="N15" s="4"/>
      <c r="O15" s="4"/>
      <c r="P15" s="4"/>
      <c r="Q15" s="4"/>
      <c r="R15" s="4"/>
    </row>
    <row r="16" spans="2:18">
      <c r="B16" t="s">
        <v>6</v>
      </c>
      <c r="C16" s="4">
        <f>50*4</f>
        <v>200</v>
      </c>
      <c r="D16" s="4">
        <f>C16</f>
        <v>200</v>
      </c>
      <c r="E16" s="4">
        <f t="shared" ref="E16:F16" si="6">D16</f>
        <v>200</v>
      </c>
      <c r="F16" s="4">
        <f t="shared" si="6"/>
        <v>200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2:18">
      <c r="B17" t="s">
        <v>13</v>
      </c>
      <c r="C17" s="4">
        <f>C14-C15+C16</f>
        <v>1320</v>
      </c>
      <c r="D17" s="4">
        <f>D14-D15+D16</f>
        <v>1200</v>
      </c>
      <c r="E17" s="4">
        <f t="shared" ref="E17:F17" si="7">E14-E15+E16</f>
        <v>1200</v>
      </c>
      <c r="F17" s="4">
        <f t="shared" si="7"/>
        <v>1200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2:18">
      <c r="B18" t="s">
        <v>15</v>
      </c>
      <c r="C18" s="4">
        <f>C17*25</f>
        <v>33000</v>
      </c>
      <c r="D18" s="4">
        <f>D17*25</f>
        <v>30000</v>
      </c>
      <c r="E18" s="4">
        <f t="shared" ref="E18:F18" si="8">E17*25</f>
        <v>30000</v>
      </c>
      <c r="F18" s="4">
        <f t="shared" si="8"/>
        <v>30000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2:18">
      <c r="B19" t="s">
        <v>43</v>
      </c>
      <c r="C19" s="4">
        <f>C18*0.21</f>
        <v>6930</v>
      </c>
      <c r="D19" s="4">
        <f>D18*0.21</f>
        <v>6300</v>
      </c>
      <c r="E19" s="4">
        <f>E18*0.21</f>
        <v>6300</v>
      </c>
      <c r="F19" s="4">
        <f>F18*0.21</f>
        <v>6300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2:18">
      <c r="B20" t="s">
        <v>41</v>
      </c>
      <c r="C20" s="4">
        <f>C18+C19</f>
        <v>39930</v>
      </c>
      <c r="D20" s="4">
        <f>D18+D19</f>
        <v>36300</v>
      </c>
      <c r="E20" s="4">
        <f>E18+E19</f>
        <v>36300</v>
      </c>
      <c r="F20" s="4">
        <f>F18+F19</f>
        <v>36300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2:18" ht="15">
      <c r="B21" s="3" t="s">
        <v>45</v>
      </c>
      <c r="C21" s="5">
        <v>15600</v>
      </c>
      <c r="D21" s="5">
        <f>C20</f>
        <v>39930</v>
      </c>
      <c r="E21" s="5">
        <v>36300</v>
      </c>
      <c r="F21" s="5">
        <v>36300</v>
      </c>
      <c r="G21" s="5">
        <v>36300</v>
      </c>
      <c r="H21" s="5" t="s">
        <v>44</v>
      </c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2:18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2:18">
      <c r="B23" t="s">
        <v>46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2:18">
      <c r="B24" t="s">
        <v>47</v>
      </c>
      <c r="C24" s="4">
        <v>300</v>
      </c>
      <c r="D24" s="4">
        <v>300</v>
      </c>
      <c r="E24" s="4">
        <v>300</v>
      </c>
      <c r="F24" s="4">
        <v>300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2:18">
      <c r="B25" t="s">
        <v>15</v>
      </c>
      <c r="C25" s="4">
        <f>C24*600</f>
        <v>180000</v>
      </c>
      <c r="D25" s="4">
        <f>D24*600</f>
        <v>180000</v>
      </c>
      <c r="E25" s="4">
        <f>E24*600</f>
        <v>180000</v>
      </c>
      <c r="F25" s="4">
        <f>F24*600</f>
        <v>180000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2:18">
      <c r="B26" t="s">
        <v>43</v>
      </c>
      <c r="C26" s="4">
        <f>C25*0.21</f>
        <v>37800</v>
      </c>
      <c r="D26" s="4">
        <f>D25*0.21</f>
        <v>37800</v>
      </c>
      <c r="E26" s="4">
        <f t="shared" ref="E26:F26" si="9">E25*0.21</f>
        <v>37800</v>
      </c>
      <c r="F26" s="4">
        <f t="shared" si="9"/>
        <v>37800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2:18">
      <c r="B27" t="s">
        <v>41</v>
      </c>
      <c r="C27" s="4">
        <f>C25+C26</f>
        <v>217800</v>
      </c>
      <c r="D27" s="4">
        <f t="shared" ref="D27:F27" si="10">D25+D26</f>
        <v>217800</v>
      </c>
      <c r="E27" s="4">
        <f t="shared" si="10"/>
        <v>217800</v>
      </c>
      <c r="F27" s="4">
        <f t="shared" si="10"/>
        <v>217800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2:18">
      <c r="B28" t="s">
        <v>48</v>
      </c>
      <c r="C28" s="4">
        <v>40000</v>
      </c>
      <c r="D28" s="4">
        <f>C27*0.6</f>
        <v>130680</v>
      </c>
      <c r="E28" s="4">
        <f>D27*0.6</f>
        <v>130680</v>
      </c>
      <c r="F28" s="4">
        <f>E27*0.6</f>
        <v>130680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2:18">
      <c r="B29" t="s">
        <v>49</v>
      </c>
      <c r="C29" s="4">
        <f>C27*0.4</f>
        <v>87120</v>
      </c>
      <c r="D29" s="4">
        <f>D27*0.4</f>
        <v>87120</v>
      </c>
      <c r="E29" s="4">
        <f>E27*0.4</f>
        <v>87120</v>
      </c>
      <c r="F29" s="4">
        <f>F27*0.4</f>
        <v>87120</v>
      </c>
      <c r="G29" s="4">
        <f>F27*0.6</f>
        <v>130680</v>
      </c>
      <c r="H29" s="4" t="s">
        <v>44</v>
      </c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2:18" ht="15">
      <c r="B30" s="3" t="s">
        <v>50</v>
      </c>
      <c r="C30" s="5">
        <f>SUM(C28:C29)</f>
        <v>127120</v>
      </c>
      <c r="D30" s="5">
        <f>SUM(D28:D29)</f>
        <v>217800</v>
      </c>
      <c r="E30" s="5">
        <f>SUM(E28:E29)</f>
        <v>217800</v>
      </c>
      <c r="F30" s="5">
        <f>SUM(F28:F29)</f>
        <v>217800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2:18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2:18">
      <c r="B32" t="s">
        <v>51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2:18">
      <c r="B33" t="s">
        <v>52</v>
      </c>
      <c r="C33" s="4">
        <f>C25</f>
        <v>180000</v>
      </c>
      <c r="D33" s="4">
        <f t="shared" ref="D33:F33" si="11">D25</f>
        <v>180000</v>
      </c>
      <c r="E33" s="4">
        <f t="shared" si="11"/>
        <v>180000</v>
      </c>
      <c r="F33" s="4">
        <f t="shared" si="11"/>
        <v>180000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>
      <c r="B34" t="s">
        <v>53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>
      <c r="B35" t="s">
        <v>54</v>
      </c>
      <c r="C35" s="4">
        <f>C18</f>
        <v>33000</v>
      </c>
      <c r="D35" s="4">
        <f>D18</f>
        <v>30000</v>
      </c>
      <c r="E35" s="4">
        <f t="shared" ref="E35:F35" si="12">E18</f>
        <v>30000</v>
      </c>
      <c r="F35" s="4">
        <f t="shared" si="12"/>
        <v>30000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18">
      <c r="B36" t="s">
        <v>55</v>
      </c>
      <c r="C36" s="4">
        <v>4000</v>
      </c>
      <c r="D36" s="4">
        <v>2000</v>
      </c>
      <c r="E36" s="4">
        <v>2000</v>
      </c>
      <c r="F36" s="4">
        <v>2000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2:18">
      <c r="B37" t="s">
        <v>57</v>
      </c>
      <c r="C37" s="4">
        <v>-2000</v>
      </c>
      <c r="D37" s="4">
        <v>-2000</v>
      </c>
      <c r="E37" s="4">
        <v>-2000</v>
      </c>
      <c r="F37" s="4">
        <v>-2000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2:18">
      <c r="B38" t="s">
        <v>58</v>
      </c>
      <c r="C38" s="4">
        <v>15000</v>
      </c>
      <c r="D38" s="4">
        <v>21006.06</v>
      </c>
      <c r="E38" s="4">
        <v>22306.67</v>
      </c>
      <c r="F38" s="4">
        <v>22306.67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2:18">
      <c r="B39" t="s">
        <v>59</v>
      </c>
      <c r="C39" s="4">
        <v>-21006.06</v>
      </c>
      <c r="D39" s="4">
        <v>-22306.67</v>
      </c>
      <c r="E39" s="4">
        <v>-22306.67</v>
      </c>
      <c r="F39" s="4">
        <v>-22306.67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2:18">
      <c r="B40" t="s">
        <v>61</v>
      </c>
      <c r="C40" s="4">
        <v>30000</v>
      </c>
      <c r="D40" s="4">
        <v>30000</v>
      </c>
      <c r="E40" s="4">
        <v>30000</v>
      </c>
      <c r="F40" s="4">
        <v>30000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2:18">
      <c r="B41" t="s">
        <v>62</v>
      </c>
      <c r="C41" s="4">
        <f>C40*0.33</f>
        <v>9900</v>
      </c>
      <c r="D41" s="4">
        <f t="shared" ref="D41:F41" si="13">D40*0.33</f>
        <v>9900</v>
      </c>
      <c r="E41" s="4">
        <f t="shared" si="13"/>
        <v>9900</v>
      </c>
      <c r="F41" s="4">
        <f t="shared" si="13"/>
        <v>9900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18">
      <c r="B42" t="s">
        <v>63</v>
      </c>
      <c r="C42" s="4">
        <v>10000</v>
      </c>
      <c r="D42" s="4">
        <v>10000</v>
      </c>
      <c r="E42" s="4">
        <v>10000</v>
      </c>
      <c r="F42" s="4">
        <v>10000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2:18">
      <c r="B43" t="s">
        <v>64</v>
      </c>
      <c r="C43" s="4">
        <f>C42*0.31</f>
        <v>3100</v>
      </c>
      <c r="D43" s="4">
        <f t="shared" ref="D43:F43" si="14">D42*0.31</f>
        <v>3100</v>
      </c>
      <c r="E43" s="4">
        <f t="shared" si="14"/>
        <v>3100</v>
      </c>
      <c r="F43" s="4">
        <f t="shared" si="14"/>
        <v>3100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2:18">
      <c r="B44" t="s">
        <v>65</v>
      </c>
      <c r="C44" s="4">
        <v>9850</v>
      </c>
      <c r="D44" s="4">
        <v>9850</v>
      </c>
      <c r="E44" s="4">
        <v>9850</v>
      </c>
      <c r="F44" s="4">
        <v>9850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2:18">
      <c r="B45" t="s">
        <v>66</v>
      </c>
      <c r="C45" s="4">
        <v>6130</v>
      </c>
      <c r="D45" s="4">
        <v>6130</v>
      </c>
      <c r="E45" s="4">
        <v>6130</v>
      </c>
      <c r="F45" s="4">
        <v>6130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2:18">
      <c r="B46" t="s">
        <v>67</v>
      </c>
      <c r="C46" s="4">
        <f>Hoja2!H12</f>
        <v>3612.5</v>
      </c>
      <c r="D46" s="4">
        <v>3612.5</v>
      </c>
      <c r="E46" s="4">
        <v>3612.5</v>
      </c>
      <c r="F46" s="4">
        <v>3612.5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2:18">
      <c r="B47" t="s">
        <v>34</v>
      </c>
      <c r="C47" s="4">
        <f>Hoja2!H13</f>
        <v>2550</v>
      </c>
      <c r="D47" s="4">
        <f>C47</f>
        <v>2550</v>
      </c>
      <c r="E47" s="4">
        <f>D47</f>
        <v>2550</v>
      </c>
      <c r="F47" s="4">
        <f>E47</f>
        <v>2550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2:18">
      <c r="B48" t="s">
        <v>68</v>
      </c>
      <c r="C48" s="4">
        <f>2270/4</f>
        <v>567.5</v>
      </c>
      <c r="D48" s="4">
        <f>C48</f>
        <v>567.5</v>
      </c>
      <c r="E48" s="4">
        <f t="shared" ref="E48:F48" si="15">D48</f>
        <v>567.5</v>
      </c>
      <c r="F48" s="4">
        <f t="shared" si="15"/>
        <v>567.5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2:18" ht="15">
      <c r="B49" t="s">
        <v>69</v>
      </c>
      <c r="C49" s="4">
        <f>SUM(C35:C48)</f>
        <v>104703.94</v>
      </c>
      <c r="D49" s="4">
        <f>SUM(D35:D48)</f>
        <v>104409.39</v>
      </c>
      <c r="E49" s="4">
        <f>SUM(E35:E48)</f>
        <v>105710</v>
      </c>
      <c r="F49" s="4">
        <f>SUM(F35:F48)</f>
        <v>105710</v>
      </c>
      <c r="G49" s="5" t="s">
        <v>71</v>
      </c>
      <c r="H49" s="5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2:18" ht="15">
      <c r="B50" t="s">
        <v>70</v>
      </c>
      <c r="C50" s="4">
        <f>C33-C49</f>
        <v>75296.06</v>
      </c>
      <c r="D50" s="4">
        <f>D33-D49</f>
        <v>75590.61</v>
      </c>
      <c r="E50" s="4">
        <f>E33-E49</f>
        <v>74290</v>
      </c>
      <c r="F50" s="4">
        <f>F33-F49</f>
        <v>74290</v>
      </c>
      <c r="G50" s="5">
        <f>C50+D50+E50+F50</f>
        <v>299466.67</v>
      </c>
      <c r="H50" s="5" t="s">
        <v>44</v>
      </c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2:18" ht="15">
      <c r="C51" s="4"/>
      <c r="D51" s="4"/>
      <c r="E51" s="4"/>
      <c r="F51" s="4"/>
      <c r="G51" s="5"/>
      <c r="H51" s="5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2:18">
      <c r="B52" t="s">
        <v>72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2:18">
      <c r="B53" t="s">
        <v>73</v>
      </c>
      <c r="C53" s="4">
        <v>9500</v>
      </c>
      <c r="D53" s="4">
        <f>C70</f>
        <v>45765.600000000006</v>
      </c>
      <c r="E53" s="4">
        <f>D70</f>
        <v>116818.09999999998</v>
      </c>
      <c r="F53" s="4">
        <f>E70</f>
        <v>190870.59999999998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2:18">
      <c r="B54" t="s">
        <v>74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2:18">
      <c r="B55" t="s">
        <v>75</v>
      </c>
      <c r="C55" s="4">
        <f>C30</f>
        <v>127120</v>
      </c>
      <c r="D55" s="4">
        <f>D30</f>
        <v>217800</v>
      </c>
      <c r="E55" s="4">
        <f>E30</f>
        <v>217800</v>
      </c>
      <c r="F55" s="4">
        <f>F30</f>
        <v>217800</v>
      </c>
      <c r="G55" s="4"/>
      <c r="H55" s="4"/>
      <c r="I55" s="4"/>
      <c r="J55" s="4"/>
      <c r="K55" s="6">
        <v>6.4000000000000001E-2</v>
      </c>
      <c r="L55" s="4" t="s">
        <v>77</v>
      </c>
      <c r="M55" s="4"/>
      <c r="N55" s="4"/>
      <c r="O55" s="4"/>
      <c r="P55" s="4"/>
      <c r="Q55" s="4"/>
      <c r="R55" s="4"/>
    </row>
    <row r="56" spans="2:18">
      <c r="C56" s="4"/>
      <c r="D56" s="4"/>
      <c r="E56" s="4"/>
      <c r="F56" s="4"/>
      <c r="G56" s="4"/>
      <c r="H56" s="4"/>
      <c r="I56" s="4"/>
      <c r="J56" s="4"/>
      <c r="K56" s="7">
        <v>0.12</v>
      </c>
      <c r="L56" s="4" t="s">
        <v>78</v>
      </c>
      <c r="M56" s="4"/>
      <c r="N56" s="4"/>
      <c r="O56" s="4"/>
      <c r="P56" s="4"/>
      <c r="Q56" s="4"/>
      <c r="R56" s="4"/>
    </row>
    <row r="57" spans="2:18">
      <c r="B57" t="s">
        <v>81</v>
      </c>
      <c r="C57" s="4"/>
      <c r="D57" s="4"/>
      <c r="E57" s="4"/>
      <c r="F57" s="4"/>
      <c r="G57" s="4"/>
      <c r="H57" s="4"/>
      <c r="I57" s="4"/>
      <c r="J57" s="4"/>
      <c r="K57" s="7"/>
      <c r="L57" s="4"/>
      <c r="M57" s="4"/>
      <c r="N57" s="4"/>
      <c r="O57" s="4"/>
      <c r="P57" s="4"/>
      <c r="Q57" s="4"/>
      <c r="R57" s="4"/>
    </row>
    <row r="58" spans="2:18">
      <c r="B58" t="s">
        <v>82</v>
      </c>
      <c r="C58" s="4">
        <v>4800</v>
      </c>
      <c r="D58" s="4">
        <f>Hoja2!H24</f>
        <v>6524.4</v>
      </c>
      <c r="E58" s="4">
        <f>D58</f>
        <v>6524.4</v>
      </c>
      <c r="F58" s="4">
        <f t="shared" ref="F58:G58" si="16">E58</f>
        <v>6524.4</v>
      </c>
      <c r="G58" s="4">
        <f t="shared" si="16"/>
        <v>6524.4</v>
      </c>
      <c r="H58" s="4" t="s">
        <v>44</v>
      </c>
      <c r="I58" s="4"/>
      <c r="J58" s="4"/>
      <c r="K58" s="7"/>
      <c r="L58" s="4"/>
      <c r="M58" s="4"/>
      <c r="N58" s="4"/>
      <c r="O58" s="4"/>
      <c r="P58" s="4"/>
      <c r="Q58" s="4"/>
      <c r="R58" s="4"/>
    </row>
    <row r="59" spans="2:18">
      <c r="B59" t="s">
        <v>83</v>
      </c>
      <c r="C59" s="4">
        <v>3200</v>
      </c>
      <c r="D59" s="4">
        <f>Hoja2!F37</f>
        <v>26978.7</v>
      </c>
      <c r="E59" s="4">
        <f>Hoja2!G37</f>
        <v>27608.7</v>
      </c>
      <c r="F59" s="4">
        <f>Hoja2!H37</f>
        <v>27608.7</v>
      </c>
      <c r="G59" s="4">
        <f>Hoja2!I37</f>
        <v>27608.7</v>
      </c>
      <c r="H59" s="4" t="s">
        <v>44</v>
      </c>
      <c r="I59" s="4"/>
      <c r="J59" s="4"/>
      <c r="K59" s="7"/>
      <c r="L59" s="4"/>
      <c r="M59" s="4"/>
      <c r="N59" s="4"/>
      <c r="O59" s="4"/>
      <c r="P59" s="4"/>
      <c r="Q59" s="4"/>
      <c r="R59" s="4"/>
    </row>
    <row r="60" spans="2:18">
      <c r="B60" t="s">
        <v>84</v>
      </c>
      <c r="C60" s="4">
        <v>9500</v>
      </c>
      <c r="D60" s="4">
        <f>Hoja2!I26</f>
        <v>15560</v>
      </c>
      <c r="E60" s="4">
        <f>D60</f>
        <v>15560</v>
      </c>
      <c r="F60" s="4">
        <f>E60</f>
        <v>15560</v>
      </c>
      <c r="G60" s="4">
        <f>F60</f>
        <v>15560</v>
      </c>
      <c r="H60" s="4" t="s">
        <v>44</v>
      </c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2:18">
      <c r="B61" t="s">
        <v>76</v>
      </c>
      <c r="C61" s="4">
        <f>C21</f>
        <v>15600</v>
      </c>
      <c r="D61" s="4">
        <f>D21</f>
        <v>39930</v>
      </c>
      <c r="E61" s="4">
        <f>E21</f>
        <v>36300</v>
      </c>
      <c r="F61" s="4">
        <f>F21</f>
        <v>36300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2:18">
      <c r="B62" t="s">
        <v>21</v>
      </c>
      <c r="C62" s="4">
        <f>Hoja2!G25</f>
        <v>31440</v>
      </c>
      <c r="D62" s="4">
        <v>31440</v>
      </c>
      <c r="E62" s="4">
        <v>31440</v>
      </c>
      <c r="F62" s="4">
        <v>31440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2:18">
      <c r="B63" t="s">
        <v>89</v>
      </c>
      <c r="C63" s="4">
        <f>Hoja2!L10</f>
        <v>2815.2</v>
      </c>
      <c r="D63" s="4">
        <f>C63</f>
        <v>2815.2</v>
      </c>
      <c r="E63" s="4">
        <f t="shared" ref="E63:F63" si="17">D63</f>
        <v>2815.2</v>
      </c>
      <c r="F63" s="4">
        <f t="shared" si="17"/>
        <v>2815.2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2:18">
      <c r="B64" t="s">
        <v>92</v>
      </c>
      <c r="C64" s="4">
        <f>Hoja2!O9</f>
        <v>8578.9</v>
      </c>
      <c r="D64" s="4">
        <v>8578.9</v>
      </c>
      <c r="E64" s="4">
        <v>8578.9</v>
      </c>
      <c r="F64" s="4">
        <v>8578.9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>
      <c r="B65" t="s">
        <v>34</v>
      </c>
      <c r="C65" s="4">
        <f>Hoja2!O13</f>
        <v>3085.5</v>
      </c>
      <c r="D65" s="4">
        <f>D47*1.21</f>
        <v>3085.5</v>
      </c>
      <c r="E65" s="4">
        <f t="shared" ref="D65:F65" si="18">E47*1.21</f>
        <v>3085.5</v>
      </c>
      <c r="F65" s="4">
        <f t="shared" si="18"/>
        <v>3085.5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>
      <c r="B66" t="s">
        <v>66</v>
      </c>
      <c r="C66" s="4">
        <f>Hoja2!N17</f>
        <v>7417.3</v>
      </c>
      <c r="D66" s="4">
        <f>C66</f>
        <v>7417.3</v>
      </c>
      <c r="E66" s="4">
        <f t="shared" ref="E66:F66" si="19">D66</f>
        <v>7417.3</v>
      </c>
      <c r="F66" s="4">
        <f t="shared" si="19"/>
        <v>7417.3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>
      <c r="B67" t="s">
        <v>68</v>
      </c>
      <c r="C67" s="4">
        <f>2270/4</f>
        <v>567.5</v>
      </c>
      <c r="D67" s="4">
        <f t="shared" ref="D67:F67" si="20">2270/4</f>
        <v>567.5</v>
      </c>
      <c r="E67" s="4">
        <f t="shared" si="20"/>
        <v>567.5</v>
      </c>
      <c r="F67" s="4">
        <f t="shared" si="20"/>
        <v>567.5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>
      <c r="B68" t="s">
        <v>96</v>
      </c>
      <c r="C68" s="4">
        <f>15400/4</f>
        <v>3850</v>
      </c>
      <c r="D68" s="4">
        <f t="shared" ref="D68:F68" si="21">15400/4</f>
        <v>3850</v>
      </c>
      <c r="E68" s="4">
        <f t="shared" si="21"/>
        <v>3850</v>
      </c>
      <c r="F68" s="4">
        <f t="shared" si="21"/>
        <v>3850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>
      <c r="B69" t="s">
        <v>107</v>
      </c>
      <c r="C69" s="4">
        <f>SUM(C58:C68)</f>
        <v>90854.399999999994</v>
      </c>
      <c r="D69" s="4">
        <f>SUM(D58:D68)</f>
        <v>146747.5</v>
      </c>
      <c r="E69" s="4">
        <f>SUM(E58:E68)</f>
        <v>143747.5</v>
      </c>
      <c r="F69" s="4">
        <f>SUM(F58:F68)</f>
        <v>143747.5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15">
      <c r="B70" t="s">
        <v>108</v>
      </c>
      <c r="C70" s="4">
        <f>C53+C55-C69</f>
        <v>45765.600000000006</v>
      </c>
      <c r="D70" s="4">
        <f>D53+D55-D69</f>
        <v>116818.09999999998</v>
      </c>
      <c r="E70" s="4">
        <f>E53+E55-E69</f>
        <v>190870.59999999998</v>
      </c>
      <c r="F70" s="10">
        <f>F53+F55-F69</f>
        <v>264923.09999999998</v>
      </c>
      <c r="G70" s="10" t="s">
        <v>44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>
      <c r="B73" t="s">
        <v>109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>
      <c r="B74" t="s">
        <v>113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>
      <c r="B75" t="s">
        <v>112</v>
      </c>
      <c r="C75" s="4"/>
      <c r="D75" s="4"/>
      <c r="E75" s="4"/>
      <c r="F75" s="4" t="s">
        <v>127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15">
      <c r="A76">
        <v>206</v>
      </c>
      <c r="B76" t="s">
        <v>110</v>
      </c>
      <c r="C76" s="4">
        <v>5000</v>
      </c>
      <c r="D76" s="4"/>
      <c r="E76" s="4"/>
      <c r="F76" s="4" t="s">
        <v>128</v>
      </c>
      <c r="G76" s="4"/>
      <c r="H76" s="4"/>
      <c r="I76" s="4"/>
      <c r="J76" s="10" t="s">
        <v>117</v>
      </c>
      <c r="K76" s="10" t="s">
        <v>28</v>
      </c>
      <c r="L76" s="10" t="s">
        <v>119</v>
      </c>
      <c r="M76" s="4"/>
      <c r="N76" s="4"/>
      <c r="O76" s="4"/>
      <c r="P76" s="4"/>
      <c r="Q76" s="4"/>
      <c r="R76" s="4"/>
    </row>
    <row r="77" spans="1:18">
      <c r="A77">
        <v>280</v>
      </c>
      <c r="B77" t="s">
        <v>111</v>
      </c>
      <c r="C77" s="4">
        <v>-2250</v>
      </c>
      <c r="D77" s="4"/>
      <c r="E77" s="16">
        <v>100</v>
      </c>
      <c r="F77" s="4" t="s">
        <v>129</v>
      </c>
      <c r="G77" s="4">
        <v>50000</v>
      </c>
      <c r="H77" s="4"/>
      <c r="I77" s="4"/>
      <c r="J77" s="4">
        <v>18000</v>
      </c>
      <c r="K77" s="4">
        <v>2400</v>
      </c>
      <c r="L77" s="4">
        <v>6000</v>
      </c>
      <c r="M77" s="4"/>
      <c r="N77" s="4"/>
      <c r="O77" s="4"/>
      <c r="P77" s="4"/>
      <c r="Q77" s="4"/>
      <c r="R77" s="4"/>
    </row>
    <row r="78" spans="1:18">
      <c r="C78" s="4"/>
      <c r="D78" s="4"/>
      <c r="E78" s="16">
        <v>112</v>
      </c>
      <c r="F78" s="4" t="s">
        <v>131</v>
      </c>
      <c r="G78" s="4">
        <v>12000</v>
      </c>
      <c r="H78" s="4"/>
      <c r="I78" s="4"/>
      <c r="J78" s="4">
        <v>9000</v>
      </c>
      <c r="K78" s="4">
        <v>1200</v>
      </c>
      <c r="L78" s="4">
        <v>3000</v>
      </c>
      <c r="M78" s="4"/>
      <c r="N78" s="4"/>
      <c r="O78" s="4"/>
      <c r="P78" s="4"/>
      <c r="Q78" s="4"/>
      <c r="R78" s="4"/>
    </row>
    <row r="79" spans="1:18" ht="15">
      <c r="B79" t="s">
        <v>114</v>
      </c>
      <c r="C79" s="4"/>
      <c r="D79" s="4"/>
      <c r="E79" s="16">
        <v>113</v>
      </c>
      <c r="F79" s="4" t="s">
        <v>130</v>
      </c>
      <c r="G79" s="4">
        <f>9600+28000</f>
        <v>37600</v>
      </c>
      <c r="H79" s="4"/>
      <c r="I79" s="4"/>
      <c r="J79" s="10">
        <f>SUM(J77:J78)</f>
        <v>27000</v>
      </c>
      <c r="K79" s="10">
        <f>SUM(K77:K78)</f>
        <v>3600</v>
      </c>
      <c r="L79" s="10">
        <f>SUM(L77:L78)</f>
        <v>9000</v>
      </c>
      <c r="M79" s="4"/>
      <c r="N79" s="4"/>
      <c r="O79" s="4"/>
      <c r="P79" s="4"/>
      <c r="Q79" s="4"/>
      <c r="R79" s="4"/>
    </row>
    <row r="80" spans="1:18">
      <c r="A80">
        <v>213</v>
      </c>
      <c r="B80" t="s">
        <v>115</v>
      </c>
      <c r="C80" s="4">
        <v>90000</v>
      </c>
      <c r="D80" s="4"/>
      <c r="E80" s="16">
        <v>129</v>
      </c>
      <c r="F80" s="4" t="s">
        <v>132</v>
      </c>
      <c r="G80" s="4">
        <f>G50</f>
        <v>299466.67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>
      <c r="A81">
        <v>281</v>
      </c>
      <c r="B81" t="s">
        <v>116</v>
      </c>
      <c r="C81" s="4">
        <v>-27000</v>
      </c>
      <c r="D81" s="4"/>
      <c r="E81" s="16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>
      <c r="A82">
        <v>216</v>
      </c>
      <c r="B82" t="s">
        <v>28</v>
      </c>
      <c r="C82" s="4">
        <v>12000</v>
      </c>
      <c r="D82" s="4"/>
      <c r="E82" s="16"/>
      <c r="F82" s="4" t="s">
        <v>133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>
      <c r="A83">
        <v>281</v>
      </c>
      <c r="B83" t="s">
        <v>116</v>
      </c>
      <c r="C83" s="4">
        <v>-3600</v>
      </c>
      <c r="D83" s="4"/>
      <c r="E83" s="16"/>
      <c r="F83" s="4" t="s">
        <v>134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>
      <c r="A84">
        <v>218</v>
      </c>
      <c r="B84" t="s">
        <v>118</v>
      </c>
      <c r="C84" s="4">
        <v>30000</v>
      </c>
      <c r="D84" s="4"/>
      <c r="E84" s="16">
        <v>170</v>
      </c>
      <c r="F84" s="4" t="s">
        <v>135</v>
      </c>
      <c r="G84" s="4">
        <f>30000-9500</f>
        <v>20500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>
      <c r="A85">
        <v>281</v>
      </c>
      <c r="B85" t="s">
        <v>116</v>
      </c>
      <c r="C85" s="4">
        <v>-9000</v>
      </c>
      <c r="D85" s="4"/>
      <c r="E85" s="16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>
      <c r="C86" s="4"/>
      <c r="D86" s="4"/>
      <c r="E86" s="16"/>
      <c r="F86" s="4" t="s">
        <v>136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>
      <c r="B87" t="s">
        <v>120</v>
      </c>
      <c r="C87" s="4"/>
      <c r="D87" s="4"/>
      <c r="E87" s="16">
        <v>400</v>
      </c>
      <c r="F87" s="4" t="s">
        <v>76</v>
      </c>
      <c r="G87" s="4">
        <f>G21</f>
        <v>36300</v>
      </c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>
      <c r="B88" t="s">
        <v>121</v>
      </c>
      <c r="C88" s="4"/>
      <c r="D88" s="4"/>
      <c r="E88" s="16">
        <v>4750</v>
      </c>
      <c r="F88" s="4" t="s">
        <v>137</v>
      </c>
      <c r="G88" s="4">
        <f>G59</f>
        <v>27608.7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>
      <c r="A89">
        <v>310</v>
      </c>
      <c r="B89" t="s">
        <v>122</v>
      </c>
      <c r="C89" s="4">
        <f>F16*25</f>
        <v>5000</v>
      </c>
      <c r="D89" s="4"/>
      <c r="E89" s="16">
        <v>4751</v>
      </c>
      <c r="F89" t="s">
        <v>82</v>
      </c>
      <c r="G89" s="4">
        <f>G58</f>
        <v>6524.4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>
      <c r="A90">
        <v>350</v>
      </c>
      <c r="B90" t="s">
        <v>123</v>
      </c>
      <c r="C90" s="4">
        <f>80*Hoja2!D22</f>
        <v>22306.666666666672</v>
      </c>
      <c r="D90" s="4"/>
      <c r="E90" s="16">
        <v>476</v>
      </c>
      <c r="F90" t="s">
        <v>84</v>
      </c>
      <c r="G90" s="4">
        <f>G60</f>
        <v>15560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>
      <c r="C91" s="4"/>
      <c r="D91" s="4"/>
      <c r="E91" s="16">
        <v>520</v>
      </c>
      <c r="F91" s="4" t="s">
        <v>138</v>
      </c>
      <c r="G91" s="4">
        <v>9500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>
      <c r="B92" t="s">
        <v>124</v>
      </c>
      <c r="C92" s="4"/>
      <c r="D92" s="4"/>
      <c r="E92" s="16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>
      <c r="C93" s="4"/>
      <c r="D93" s="4"/>
      <c r="E93" s="16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>
      <c r="A94">
        <v>430</v>
      </c>
      <c r="B94" t="s">
        <v>75</v>
      </c>
      <c r="C94" s="4">
        <f>G29</f>
        <v>130680</v>
      </c>
      <c r="D94" s="4"/>
      <c r="E94" s="16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>
      <c r="C95" s="4"/>
      <c r="D95" s="4"/>
      <c r="E95" s="16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>
      <c r="B96" t="s">
        <v>125</v>
      </c>
      <c r="C96" s="4"/>
      <c r="D96" s="4"/>
      <c r="E96" s="16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>
      <c r="A97">
        <v>572</v>
      </c>
      <c r="B97" t="s">
        <v>126</v>
      </c>
      <c r="C97" s="4">
        <f>F70</f>
        <v>264923.09999999998</v>
      </c>
      <c r="D97" s="4"/>
      <c r="E97" s="16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15">
      <c r="B98" s="11" t="s">
        <v>139</v>
      </c>
      <c r="C98" s="10">
        <f>SUM(C76:C97)</f>
        <v>518059.76666666666</v>
      </c>
      <c r="D98" s="10"/>
      <c r="E98" s="17"/>
      <c r="F98" s="10" t="s">
        <v>140</v>
      </c>
      <c r="G98" s="10">
        <f>SUM(G77:G97)</f>
        <v>515059.77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>
      <c r="C99" s="4"/>
      <c r="D99" s="4"/>
      <c r="E99" s="16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>
      <c r="C100" s="4"/>
      <c r="D100" s="4"/>
      <c r="E100" s="16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>
      <c r="C101" s="4"/>
      <c r="D101" s="4"/>
      <c r="E101" s="16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>
      <c r="C102" s="4"/>
      <c r="D102" s="4"/>
      <c r="E102" s="16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3:18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3:18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3:18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3:18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3:18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3:18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3:18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3:18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3:18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3:18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3:18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3:18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3:18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3:18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3:18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3:18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3:18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3:18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3:18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3:18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3:18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3:18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3:18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3:18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3:18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3:18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3:18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3:18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3:18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3:18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3:18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3:18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3:18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3:18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3:18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3:18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3:18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3:18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3:18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3:18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3:18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3:18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3:18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3:18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3:18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3:18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3:18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3:18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3:18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3:18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3:18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3:18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3:18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3:18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3:18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3:18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3:18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3:18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3:18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3:18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3:18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3:18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3:18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3:18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3:18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3:18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3:18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3:18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3:18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3:18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3:18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3:18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3:18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3:18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3:18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3:18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3:18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3:18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247"/>
  <sheetViews>
    <sheetView topLeftCell="A7" workbookViewId="0">
      <selection activeCell="G9" sqref="G9"/>
    </sheetView>
  </sheetViews>
  <sheetFormatPr baseColWidth="10" defaultRowHeight="14.25"/>
  <cols>
    <col min="3" max="3" width="12" customWidth="1"/>
    <col min="5" max="5" width="13.875" customWidth="1"/>
    <col min="8" max="8" width="12.5" customWidth="1"/>
    <col min="11" max="11" width="11.75" bestFit="1" customWidth="1"/>
    <col min="13" max="13" width="13.125" customWidth="1"/>
  </cols>
  <sheetData>
    <row r="3" spans="3:17">
      <c r="C3" t="s">
        <v>16</v>
      </c>
    </row>
    <row r="4" spans="3:17">
      <c r="C4" t="s">
        <v>17</v>
      </c>
      <c r="D4" t="s">
        <v>18</v>
      </c>
    </row>
    <row r="5" spans="3:17">
      <c r="D5" t="s">
        <v>19</v>
      </c>
    </row>
    <row r="6" spans="3:17" ht="15">
      <c r="F6" s="11"/>
      <c r="G6" s="11"/>
      <c r="H6" s="11"/>
      <c r="I6" s="11" t="s">
        <v>31</v>
      </c>
    </row>
    <row r="7" spans="3:17" ht="15">
      <c r="C7" s="11" t="s">
        <v>20</v>
      </c>
      <c r="D7" s="11"/>
      <c r="F7" s="11"/>
      <c r="G7" s="11" t="s">
        <v>27</v>
      </c>
      <c r="H7" s="11" t="s">
        <v>30</v>
      </c>
      <c r="I7" s="11" t="s">
        <v>23</v>
      </c>
      <c r="K7" s="8" t="s">
        <v>89</v>
      </c>
      <c r="L7" s="9">
        <f>920*3</f>
        <v>2760</v>
      </c>
      <c r="M7" s="8" t="s">
        <v>93</v>
      </c>
      <c r="N7" s="9">
        <v>9850</v>
      </c>
      <c r="O7" s="9">
        <f>N7-L7</f>
        <v>7090</v>
      </c>
      <c r="P7" s="4"/>
      <c r="Q7" s="4"/>
    </row>
    <row r="8" spans="3:17" ht="15">
      <c r="C8" s="11"/>
      <c r="D8" s="11" t="s">
        <v>8</v>
      </c>
      <c r="F8" s="12" t="s">
        <v>25</v>
      </c>
      <c r="G8" s="10">
        <f>90000*0.1</f>
        <v>9000</v>
      </c>
      <c r="H8" s="10">
        <f>G8/4</f>
        <v>2250</v>
      </c>
      <c r="I8" s="10">
        <f>H8</f>
        <v>2250</v>
      </c>
      <c r="J8" s="4"/>
      <c r="K8" s="9" t="s">
        <v>90</v>
      </c>
      <c r="L8" s="9">
        <v>-524.4</v>
      </c>
      <c r="M8" s="9"/>
      <c r="N8" s="9" t="s">
        <v>43</v>
      </c>
      <c r="O8" s="9">
        <f>O7*0.21</f>
        <v>1488.8999999999999</v>
      </c>
      <c r="P8" s="4"/>
      <c r="Q8" s="4"/>
    </row>
    <row r="9" spans="3:17" ht="15">
      <c r="C9" s="11" t="s">
        <v>21</v>
      </c>
      <c r="D9" s="10">
        <v>30000</v>
      </c>
      <c r="E9" s="4"/>
      <c r="F9" s="13" t="s">
        <v>26</v>
      </c>
      <c r="G9" s="10">
        <f>30000*0.1</f>
        <v>3000</v>
      </c>
      <c r="H9" s="10">
        <f t="shared" ref="H9:H11" si="0">G9/4</f>
        <v>750</v>
      </c>
      <c r="I9" s="10">
        <f>H9*0.5</f>
        <v>375</v>
      </c>
      <c r="J9" s="4"/>
      <c r="K9" s="9" t="s">
        <v>43</v>
      </c>
      <c r="L9" s="9">
        <f>L7*0.21</f>
        <v>579.6</v>
      </c>
      <c r="M9" s="9"/>
      <c r="N9" s="9" t="s">
        <v>41</v>
      </c>
      <c r="O9" s="9">
        <f>SUM(O7:O8)</f>
        <v>8578.9</v>
      </c>
      <c r="P9" s="4"/>
      <c r="Q9" s="4"/>
    </row>
    <row r="10" spans="3:17" ht="15">
      <c r="C10" s="11" t="s">
        <v>22</v>
      </c>
      <c r="D10" s="10">
        <f>D9*0.33</f>
        <v>9900</v>
      </c>
      <c r="E10" s="4"/>
      <c r="F10" s="13" t="s">
        <v>28</v>
      </c>
      <c r="G10" s="10">
        <f>12000*0.1</f>
        <v>1200</v>
      </c>
      <c r="H10" s="10">
        <f t="shared" si="0"/>
        <v>300</v>
      </c>
      <c r="I10" s="10"/>
      <c r="J10" s="4"/>
      <c r="K10" s="9" t="s">
        <v>91</v>
      </c>
      <c r="L10" s="9">
        <f>SUM(L7:L9)</f>
        <v>2815.2</v>
      </c>
      <c r="M10" s="9"/>
      <c r="N10" s="9"/>
      <c r="O10" s="9"/>
      <c r="P10" s="4"/>
      <c r="Q10" s="4"/>
    </row>
    <row r="11" spans="3:17" ht="15">
      <c r="C11" s="11" t="s">
        <v>23</v>
      </c>
      <c r="D11" s="10">
        <v>9850</v>
      </c>
      <c r="E11" s="4"/>
      <c r="F11" s="10" t="s">
        <v>29</v>
      </c>
      <c r="G11" s="10">
        <f>5000*0.25</f>
        <v>1250</v>
      </c>
      <c r="H11" s="10">
        <f t="shared" si="0"/>
        <v>312.5</v>
      </c>
      <c r="I11" s="10"/>
      <c r="J11" s="4"/>
      <c r="K11" s="4"/>
      <c r="L11" s="4"/>
      <c r="M11" s="4"/>
      <c r="N11" s="10" t="s">
        <v>95</v>
      </c>
      <c r="O11" s="10">
        <f>850*3</f>
        <v>2550</v>
      </c>
      <c r="P11" s="4"/>
      <c r="Q11" s="4"/>
    </row>
    <row r="12" spans="3:17" ht="15">
      <c r="C12" s="11" t="s">
        <v>24</v>
      </c>
      <c r="D12" s="14">
        <f>I12</f>
        <v>2625</v>
      </c>
      <c r="E12" s="4"/>
      <c r="F12" s="10" t="s">
        <v>33</v>
      </c>
      <c r="G12" s="10">
        <f>SUM(G8:G11)</f>
        <v>14450</v>
      </c>
      <c r="H12" s="10">
        <f>SUM(H8:H11)</f>
        <v>3612.5</v>
      </c>
      <c r="I12" s="14">
        <f>SUM(I8:I11)</f>
        <v>2625</v>
      </c>
      <c r="J12" s="4"/>
      <c r="K12" s="4"/>
      <c r="L12" s="4"/>
      <c r="M12" s="4"/>
      <c r="N12" s="10" t="s">
        <v>43</v>
      </c>
      <c r="O12" s="10">
        <f>O11*0.21</f>
        <v>535.5</v>
      </c>
      <c r="P12" s="4"/>
      <c r="Q12" s="4"/>
    </row>
    <row r="13" spans="3:17" ht="15">
      <c r="C13" s="11" t="s">
        <v>32</v>
      </c>
      <c r="D13" s="10">
        <f>H13*0.5</f>
        <v>1275</v>
      </c>
      <c r="E13" s="4"/>
      <c r="F13" s="10" t="s">
        <v>34</v>
      </c>
      <c r="G13" s="10"/>
      <c r="H13" s="10">
        <f>850*3</f>
        <v>2550</v>
      </c>
      <c r="I13" s="10"/>
      <c r="J13" s="4"/>
      <c r="K13" s="4"/>
      <c r="L13" s="4"/>
      <c r="M13" s="4"/>
      <c r="N13" s="10" t="s">
        <v>41</v>
      </c>
      <c r="O13" s="10">
        <f>SUM(O11:O12)</f>
        <v>3085.5</v>
      </c>
      <c r="P13" s="4"/>
      <c r="Q13" s="4"/>
    </row>
    <row r="14" spans="3:17" ht="15">
      <c r="C14" s="11" t="s">
        <v>35</v>
      </c>
      <c r="D14" s="10">
        <f>SUM(D9:D13)</f>
        <v>53650</v>
      </c>
      <c r="E14" s="4"/>
      <c r="F14" s="10"/>
      <c r="G14" s="10"/>
      <c r="H14" s="10"/>
      <c r="I14" s="10"/>
      <c r="J14" s="4"/>
      <c r="K14" s="4"/>
      <c r="L14" s="4"/>
      <c r="M14" s="4"/>
      <c r="N14" s="4"/>
      <c r="O14" s="4"/>
      <c r="P14" s="4"/>
      <c r="Q14" s="4"/>
    </row>
    <row r="15" spans="3:17" ht="15">
      <c r="C15" s="11" t="s">
        <v>36</v>
      </c>
      <c r="D15" s="10">
        <f>D14/330</f>
        <v>162.57575757575756</v>
      </c>
      <c r="E15" s="4"/>
      <c r="F15" s="4"/>
      <c r="G15" s="4"/>
      <c r="H15" s="4"/>
      <c r="I15" s="4"/>
      <c r="J15" s="4"/>
      <c r="K15" s="4"/>
      <c r="L15" s="4"/>
      <c r="M15" s="10" t="s">
        <v>66</v>
      </c>
      <c r="N15" s="10">
        <v>6130</v>
      </c>
      <c r="O15" s="4"/>
      <c r="P15" s="4"/>
      <c r="Q15" s="4"/>
    </row>
    <row r="16" spans="3:17" ht="15">
      <c r="C16" s="11" t="s">
        <v>17</v>
      </c>
      <c r="D16" s="10">
        <f>25*4</f>
        <v>100</v>
      </c>
      <c r="E16" s="4"/>
      <c r="F16" s="4"/>
      <c r="G16" s="4"/>
      <c r="H16" s="4"/>
      <c r="I16" s="4"/>
      <c r="J16" s="4"/>
      <c r="K16" s="4"/>
      <c r="L16" s="4"/>
      <c r="M16" s="10" t="s">
        <v>43</v>
      </c>
      <c r="N16" s="10">
        <f>N15*0.21</f>
        <v>1287.3</v>
      </c>
      <c r="O16" s="4"/>
      <c r="P16" s="4"/>
      <c r="Q16" s="4"/>
    </row>
    <row r="17" spans="3:17" ht="15">
      <c r="C17" s="3" t="s">
        <v>37</v>
      </c>
      <c r="D17" s="5">
        <f>SUM(D15:D16)</f>
        <v>262.57575757575756</v>
      </c>
      <c r="E17" s="4" t="s">
        <v>38</v>
      </c>
      <c r="F17" s="4"/>
      <c r="G17" s="4"/>
      <c r="H17" s="4"/>
      <c r="I17" s="4"/>
      <c r="J17" s="4">
        <v>1320</v>
      </c>
      <c r="K17" s="4">
        <f>200*20</f>
        <v>4000</v>
      </c>
      <c r="L17" s="4"/>
      <c r="M17" s="10" t="s">
        <v>41</v>
      </c>
      <c r="N17" s="10">
        <f>SUM(N15:N16)</f>
        <v>7417.3</v>
      </c>
      <c r="O17" s="4"/>
      <c r="P17" s="4"/>
      <c r="Q17" s="4"/>
    </row>
    <row r="18" spans="3:17">
      <c r="D18" s="4"/>
      <c r="E18" s="4"/>
      <c r="F18" s="4"/>
      <c r="G18" s="4"/>
      <c r="H18" s="4"/>
      <c r="I18" s="4"/>
      <c r="J18" s="4">
        <f>1320-200</f>
        <v>1120</v>
      </c>
      <c r="K18" s="4">
        <f>J18*25</f>
        <v>28000</v>
      </c>
      <c r="L18" s="4"/>
      <c r="M18" s="4"/>
      <c r="N18" s="4"/>
      <c r="O18" s="4"/>
      <c r="P18" s="4"/>
      <c r="Q18" s="4"/>
    </row>
    <row r="19" spans="3:17"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3:17">
      <c r="C20" t="s">
        <v>39</v>
      </c>
      <c r="D20" s="4">
        <f>Hoja2!D14/300</f>
        <v>178.83333333333334</v>
      </c>
      <c r="E20" s="4" t="s">
        <v>42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3:17">
      <c r="C21" t="s">
        <v>40</v>
      </c>
      <c r="D21" s="4">
        <v>100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3:17" ht="15">
      <c r="C22" s="3" t="s">
        <v>41</v>
      </c>
      <c r="D22" s="5">
        <f>SUM(D20:D21)</f>
        <v>278.83333333333337</v>
      </c>
      <c r="E22" s="4"/>
      <c r="F22" s="10" t="s">
        <v>21</v>
      </c>
      <c r="G22" s="10">
        <f>30000+10000</f>
        <v>40000</v>
      </c>
      <c r="H22" s="10" t="s">
        <v>94</v>
      </c>
      <c r="I22" s="10" t="s">
        <v>85</v>
      </c>
      <c r="J22" s="10"/>
      <c r="K22" s="10"/>
      <c r="L22" s="10"/>
      <c r="M22" s="4"/>
      <c r="N22" s="4"/>
      <c r="O22" s="4"/>
      <c r="P22" s="4"/>
      <c r="Q22" s="4"/>
    </row>
    <row r="23" spans="3:17" ht="15">
      <c r="D23" s="4"/>
      <c r="E23" s="4"/>
      <c r="F23" s="10" t="s">
        <v>79</v>
      </c>
      <c r="G23" s="10">
        <f>G22*0.064</f>
        <v>2560</v>
      </c>
      <c r="H23" s="10"/>
      <c r="I23" s="10">
        <f>Hoja1!C41</f>
        <v>9900</v>
      </c>
      <c r="J23" s="10" t="s">
        <v>86</v>
      </c>
      <c r="K23" s="10"/>
      <c r="L23" s="10"/>
      <c r="M23" s="4"/>
      <c r="N23" s="4"/>
      <c r="O23" s="4"/>
      <c r="P23" s="4"/>
      <c r="Q23" s="4"/>
    </row>
    <row r="24" spans="3:17" ht="15">
      <c r="D24" s="4"/>
      <c r="E24" s="4"/>
      <c r="F24" s="10" t="s">
        <v>78</v>
      </c>
      <c r="G24" s="10">
        <f>G22*0.15</f>
        <v>6000</v>
      </c>
      <c r="H24" s="10">
        <f>G24-L8</f>
        <v>6524.4</v>
      </c>
      <c r="I24" s="10">
        <f>Hoja1!C43</f>
        <v>3100</v>
      </c>
      <c r="J24" s="10" t="s">
        <v>87</v>
      </c>
      <c r="K24" s="10"/>
      <c r="L24" s="10"/>
      <c r="M24" s="4"/>
      <c r="N24" s="4"/>
      <c r="O24" s="4"/>
      <c r="P24" s="4"/>
      <c r="Q24" s="4"/>
    </row>
    <row r="25" spans="3:17" ht="15">
      <c r="C25" t="s">
        <v>56</v>
      </c>
      <c r="D25" s="4">
        <f>80*D17</f>
        <v>21006.060606060604</v>
      </c>
      <c r="E25" s="4"/>
      <c r="F25" s="10" t="s">
        <v>80</v>
      </c>
      <c r="G25" s="10">
        <f>G22-G23-G24</f>
        <v>31440</v>
      </c>
      <c r="H25" s="10"/>
      <c r="I25" s="10">
        <f>G23</f>
        <v>2560</v>
      </c>
      <c r="J25" s="10" t="s">
        <v>88</v>
      </c>
      <c r="K25" s="10">
        <f>L25*0.064</f>
        <v>2560</v>
      </c>
      <c r="L25" s="10">
        <f>30000+10000</f>
        <v>40000</v>
      </c>
      <c r="M25" s="4"/>
      <c r="N25" s="4"/>
      <c r="O25" s="4"/>
      <c r="P25" s="4"/>
      <c r="Q25" s="4"/>
    </row>
    <row r="26" spans="3:17" ht="15">
      <c r="C26" t="s">
        <v>60</v>
      </c>
      <c r="D26" s="4">
        <f>80*D22</f>
        <v>22306.666666666672</v>
      </c>
      <c r="E26" s="4"/>
      <c r="F26" s="10"/>
      <c r="G26" s="10"/>
      <c r="H26" s="10"/>
      <c r="I26" s="10">
        <f>SUM(I23:I25)</f>
        <v>15560</v>
      </c>
      <c r="J26" s="10" t="s">
        <v>41</v>
      </c>
      <c r="K26" s="10"/>
      <c r="L26" s="10"/>
      <c r="M26" s="4"/>
      <c r="N26" s="4"/>
      <c r="O26" s="4"/>
      <c r="P26" s="4"/>
      <c r="Q26" s="4"/>
    </row>
    <row r="27" spans="3:17" ht="15">
      <c r="D27" s="4"/>
      <c r="E27" s="4"/>
      <c r="F27" s="10"/>
      <c r="G27" s="10"/>
      <c r="H27" s="10"/>
      <c r="I27" s="10"/>
      <c r="J27" s="10"/>
      <c r="K27" s="10"/>
      <c r="L27" s="10"/>
      <c r="M27" s="4"/>
      <c r="N27" s="4"/>
      <c r="O27" s="4"/>
      <c r="P27" s="4"/>
      <c r="Q27" s="4"/>
    </row>
    <row r="28" spans="3:17" ht="15">
      <c r="D28" s="4"/>
      <c r="E28" s="10" t="s">
        <v>97</v>
      </c>
      <c r="F28" s="10"/>
      <c r="G28" s="10"/>
      <c r="H28" s="10"/>
      <c r="I28" s="10"/>
      <c r="J28" s="10"/>
      <c r="K28" s="4"/>
      <c r="L28" s="4"/>
      <c r="M28" s="4"/>
      <c r="N28" s="4"/>
      <c r="O28" s="4"/>
      <c r="P28" s="4"/>
      <c r="Q28" s="4"/>
    </row>
    <row r="29" spans="3:17" ht="15">
      <c r="D29" s="4"/>
      <c r="E29" s="10"/>
      <c r="F29" s="10" t="s">
        <v>8</v>
      </c>
      <c r="G29" s="10" t="s">
        <v>98</v>
      </c>
      <c r="H29" s="10" t="s">
        <v>99</v>
      </c>
      <c r="I29" s="10" t="s">
        <v>100</v>
      </c>
      <c r="J29" s="10"/>
      <c r="K29" s="4"/>
      <c r="L29" s="4"/>
      <c r="M29" s="4"/>
      <c r="N29" s="4"/>
      <c r="O29" s="4"/>
      <c r="P29" s="4"/>
      <c r="Q29" s="4"/>
    </row>
    <row r="30" spans="3:17" ht="15">
      <c r="D30" s="4"/>
      <c r="E30" s="10" t="s">
        <v>101</v>
      </c>
      <c r="F30" s="10">
        <f>Hoja1!C26</f>
        <v>37800</v>
      </c>
      <c r="G30" s="10">
        <f>Hoja1!D26</f>
        <v>37800</v>
      </c>
      <c r="H30" s="10">
        <f>Hoja1!E26</f>
        <v>37800</v>
      </c>
      <c r="I30" s="10">
        <f>Hoja1!F26</f>
        <v>37800</v>
      </c>
      <c r="J30" s="10"/>
      <c r="K30" s="4"/>
      <c r="L30" s="4"/>
      <c r="M30" s="4"/>
      <c r="N30" s="4"/>
      <c r="O30" s="4"/>
      <c r="P30" s="4"/>
      <c r="Q30" s="4"/>
    </row>
    <row r="31" spans="3:17" ht="15">
      <c r="D31" s="15"/>
      <c r="E31" s="10" t="s">
        <v>102</v>
      </c>
      <c r="F31" s="10"/>
      <c r="G31" s="10"/>
      <c r="H31" s="10"/>
      <c r="I31" s="10"/>
      <c r="J31" s="10"/>
      <c r="K31" s="4"/>
      <c r="L31" s="4"/>
      <c r="M31" s="4"/>
      <c r="N31" s="4"/>
      <c r="O31" s="4"/>
      <c r="P31" s="4"/>
      <c r="Q31" s="4"/>
    </row>
    <row r="32" spans="3:17" ht="15">
      <c r="D32" s="4"/>
      <c r="E32" s="10" t="s">
        <v>103</v>
      </c>
      <c r="F32" s="10">
        <f>Hoja1!C19</f>
        <v>6930</v>
      </c>
      <c r="G32" s="10">
        <f>Hoja1!D19</f>
        <v>6300</v>
      </c>
      <c r="H32" s="10">
        <f>Hoja1!E19</f>
        <v>6300</v>
      </c>
      <c r="I32" s="10">
        <f>Hoja1!F19</f>
        <v>6300</v>
      </c>
      <c r="J32" s="10"/>
      <c r="K32" s="4"/>
      <c r="L32" s="4"/>
      <c r="M32" s="4"/>
      <c r="N32" s="4"/>
      <c r="O32" s="4"/>
      <c r="P32" s="4"/>
      <c r="Q32" s="4"/>
    </row>
    <row r="33" spans="4:17" ht="15">
      <c r="D33" s="4"/>
      <c r="E33" s="10" t="s">
        <v>104</v>
      </c>
      <c r="F33" s="10">
        <f>9850*0.21</f>
        <v>2068.5</v>
      </c>
      <c r="G33" s="10">
        <f>9850*0.21</f>
        <v>2068.5</v>
      </c>
      <c r="H33" s="10">
        <f t="shared" ref="H33:I33" si="1">9850*0.21</f>
        <v>2068.5</v>
      </c>
      <c r="I33" s="10">
        <f t="shared" si="1"/>
        <v>2068.5</v>
      </c>
      <c r="J33" s="10"/>
      <c r="K33" s="4"/>
      <c r="L33" s="4"/>
      <c r="M33" s="4"/>
      <c r="N33" s="4"/>
      <c r="O33" s="4"/>
      <c r="P33" s="4"/>
      <c r="Q33" s="4"/>
    </row>
    <row r="34" spans="4:17" ht="15">
      <c r="D34" s="4"/>
      <c r="E34" s="10" t="s">
        <v>105</v>
      </c>
      <c r="F34" s="10">
        <f>6130*0.21</f>
        <v>1287.3</v>
      </c>
      <c r="G34" s="10">
        <f>N16</f>
        <v>1287.3</v>
      </c>
      <c r="H34" s="10">
        <f>N16</f>
        <v>1287.3</v>
      </c>
      <c r="I34" s="10">
        <f>N16</f>
        <v>1287.3</v>
      </c>
      <c r="J34" s="10"/>
      <c r="K34" s="4"/>
      <c r="L34" s="4"/>
      <c r="M34" s="4"/>
      <c r="N34" s="4"/>
      <c r="O34" s="4"/>
      <c r="P34" s="4"/>
      <c r="Q34" s="4"/>
    </row>
    <row r="35" spans="4:17" ht="15">
      <c r="D35" s="4"/>
      <c r="E35" s="10" t="s">
        <v>34</v>
      </c>
      <c r="F35" s="10">
        <f>O12</f>
        <v>535.5</v>
      </c>
      <c r="G35" s="10">
        <f>O11*0.21</f>
        <v>535.5</v>
      </c>
      <c r="H35" s="10">
        <f>O12</f>
        <v>535.5</v>
      </c>
      <c r="I35" s="10">
        <f>O12</f>
        <v>535.5</v>
      </c>
      <c r="J35" s="10"/>
      <c r="K35" s="4"/>
      <c r="L35" s="4"/>
      <c r="M35" s="4"/>
      <c r="N35" s="4"/>
      <c r="O35" s="4"/>
      <c r="P35" s="4"/>
      <c r="Q35" s="4"/>
    </row>
    <row r="36" spans="4:17" ht="15">
      <c r="D36" s="4"/>
      <c r="E36" s="10" t="s">
        <v>106</v>
      </c>
      <c r="F36" s="10">
        <f>SUM(F32:F35)</f>
        <v>10821.3</v>
      </c>
      <c r="G36" s="10">
        <f>SUM(G32:G35)</f>
        <v>10191.299999999999</v>
      </c>
      <c r="H36" s="10">
        <f>SUM(H32:H35)</f>
        <v>10191.299999999999</v>
      </c>
      <c r="I36" s="10">
        <f>SUM(I32:I35)</f>
        <v>10191.299999999999</v>
      </c>
      <c r="J36" s="10"/>
      <c r="K36" s="4"/>
      <c r="L36" s="4"/>
      <c r="M36" s="4"/>
      <c r="N36" s="4"/>
      <c r="O36" s="4"/>
      <c r="P36" s="4"/>
      <c r="Q36" s="4"/>
    </row>
    <row r="37" spans="4:17" ht="15">
      <c r="D37" s="4"/>
      <c r="E37" s="10" t="s">
        <v>70</v>
      </c>
      <c r="F37" s="10">
        <f>F30-F36</f>
        <v>26978.7</v>
      </c>
      <c r="G37" s="10">
        <f>G30-G36</f>
        <v>27608.7</v>
      </c>
      <c r="H37" s="10">
        <f>H30-H36</f>
        <v>27608.7</v>
      </c>
      <c r="I37" s="10">
        <f>I30-I36</f>
        <v>27608.7</v>
      </c>
      <c r="J37" s="10" t="s">
        <v>44</v>
      </c>
      <c r="K37" s="4"/>
      <c r="L37" s="4"/>
      <c r="M37" s="4"/>
      <c r="N37" s="4"/>
      <c r="O37" s="4"/>
      <c r="P37" s="4"/>
      <c r="Q37" s="4"/>
    </row>
    <row r="38" spans="4:17" ht="15">
      <c r="D38" s="4"/>
      <c r="E38" s="10"/>
      <c r="F38" s="10"/>
      <c r="G38" s="10"/>
      <c r="H38" s="10"/>
      <c r="I38" s="10"/>
      <c r="J38" s="10"/>
      <c r="K38" s="4"/>
      <c r="L38" s="4"/>
      <c r="M38" s="4"/>
      <c r="N38" s="4"/>
      <c r="O38" s="4"/>
      <c r="P38" s="4"/>
      <c r="Q38" s="4"/>
    </row>
    <row r="39" spans="4:17"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4:17"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4:17"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4:17"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4:17"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4:17"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4:17"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4:17"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4:17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4:17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4:17"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4:17"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4:17"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4:17"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4:17"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4:17"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4:17"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4:17"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4:17"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4:17"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4:17"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4:17"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4:17"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4:17"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4:17"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4:17"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4:17"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4:17"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4:17"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4:17"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4:17"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4:17"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4:17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4:17"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4:17"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4:17"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4:17"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4:17"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4:17"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4:17"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4:17"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4:17"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4:17"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4:17"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4:17"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4:17"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4:17"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4:17"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4:17"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4:17"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4:17"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4:17"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4:17"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4:17"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4:17"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4:17"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4:17"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4:17"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4:17"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4:17"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4:17"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4:17"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4:17"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4:17"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4:17"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4:17"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4:17"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4:17"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4:17"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4:17"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spans="4:17"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spans="4:17"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4:17"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spans="4:17"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</row>
    <row r="113" spans="4:17"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spans="4:17"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4:17"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4:17"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 spans="4:17"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4:17"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4:17"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4:17"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4:17"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4:17"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4:17"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4:17"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4:17"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spans="4:17"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pans="4:17"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pans="4:17"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</row>
    <row r="129" spans="4:17"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</row>
    <row r="130" spans="4:17"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</row>
    <row r="131" spans="4:17"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</row>
    <row r="132" spans="4:17"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</row>
    <row r="133" spans="4:17"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</row>
    <row r="134" spans="4:17"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</row>
    <row r="135" spans="4:17"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spans="4:17"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</row>
    <row r="137" spans="4:17"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</row>
    <row r="138" spans="4:17"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</row>
    <row r="139" spans="4:17"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</row>
    <row r="140" spans="4:17"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</row>
    <row r="141" spans="4:17"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</row>
    <row r="142" spans="4:17"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3" spans="4:17"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</row>
    <row r="144" spans="4:17"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</row>
    <row r="145" spans="4:17"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</row>
    <row r="146" spans="4:17"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</row>
    <row r="147" spans="4:17"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</row>
    <row r="148" spans="4:17"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</row>
    <row r="149" spans="4:17"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</row>
    <row r="150" spans="4:17"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</row>
    <row r="151" spans="4:17"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</row>
    <row r="152" spans="4:17"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</row>
    <row r="153" spans="4:17"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</row>
    <row r="154" spans="4:17"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</row>
    <row r="155" spans="4:17"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</row>
    <row r="156" spans="4:17"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4:17"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4:17"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4:17"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4:17"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4:14"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4:14"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4:14"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4:14"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4:14"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4:14"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4:14"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4:14"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4:14"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4:14"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4:14"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4:14"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4:14"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4:14"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4:14"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4:14"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4:14"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4:14"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4:14"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4:14"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4:14"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4:14"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4:14"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4:14"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4:14"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4:14"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4:14"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4:14"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4:14"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4:14"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4:14"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4:14"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4:14"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4:14"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4:14"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4:14"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4:14"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4:14"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4:14"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4:14"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4:14"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4:14"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4:14"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4:14"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4:14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4:14"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4:14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4:14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4:14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4:14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4:14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4:14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4:14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4:14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4:14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4:14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4:14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4:14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4:14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4:14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4:14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4:14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4:14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4:14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4:14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4:14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4:14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4:14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4:14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4:14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4:14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4:14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4:14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4:14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4:14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4:14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4:14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4:14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4:14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4:14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4:14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4:14">
      <c r="D242" s="4"/>
      <c r="E242" s="4"/>
      <c r="F242" s="4"/>
      <c r="G242" s="4"/>
      <c r="H242" s="4"/>
      <c r="I242" s="4"/>
    </row>
    <row r="243" spans="4:14">
      <c r="D243" s="4"/>
      <c r="E243" s="4"/>
      <c r="F243" s="4"/>
      <c r="G243" s="4"/>
      <c r="H243" s="4"/>
      <c r="I243" s="4"/>
    </row>
    <row r="244" spans="4:14">
      <c r="D244" s="4"/>
      <c r="E244" s="4"/>
      <c r="F244" s="4"/>
      <c r="G244" s="4"/>
      <c r="H244" s="4"/>
      <c r="I244" s="4"/>
    </row>
    <row r="245" spans="4:14">
      <c r="D245" s="4"/>
      <c r="E245" s="4"/>
      <c r="F245" s="4"/>
      <c r="G245" s="4"/>
      <c r="H245" s="4"/>
      <c r="I245" s="4"/>
    </row>
    <row r="246" spans="4:14">
      <c r="D246" s="4"/>
      <c r="E246" s="4"/>
      <c r="F246" s="4"/>
      <c r="G246" s="4"/>
      <c r="H246" s="4"/>
      <c r="I246" s="4"/>
    </row>
    <row r="247" spans="4:14">
      <c r="D247" s="4"/>
      <c r="E247" s="4"/>
      <c r="F247" s="4"/>
      <c r="G247" s="4"/>
      <c r="H247" s="4"/>
      <c r="I247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ALVAREZ VIVIAN</dc:creator>
  <cp:lastModifiedBy>Pc</cp:lastModifiedBy>
  <dcterms:created xsi:type="dcterms:W3CDTF">2026-04-20T17:18:08Z</dcterms:created>
  <dcterms:modified xsi:type="dcterms:W3CDTF">2026-04-21T12:37:01Z</dcterms:modified>
</cp:coreProperties>
</file>