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 25-26\MATERIAL SIME\simulacion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2" l="1"/>
  <c r="N49" i="2"/>
  <c r="N48" i="2"/>
  <c r="M54" i="2"/>
  <c r="M53" i="2"/>
  <c r="M52" i="2"/>
  <c r="M51" i="2"/>
  <c r="M50" i="2"/>
  <c r="M49" i="2"/>
  <c r="I50" i="2"/>
  <c r="I49" i="2"/>
  <c r="H53" i="2"/>
  <c r="H52" i="2"/>
  <c r="H51" i="2"/>
  <c r="H50" i="2"/>
  <c r="H49" i="2"/>
  <c r="E47" i="2"/>
  <c r="B137" i="1" l="1"/>
  <c r="B135" i="1"/>
  <c r="B133" i="1"/>
  <c r="B131" i="1"/>
  <c r="B128" i="1"/>
  <c r="N120" i="1"/>
  <c r="M120" i="1"/>
  <c r="K120" i="1"/>
  <c r="G120" i="1"/>
  <c r="E120" i="1"/>
  <c r="F120" i="1"/>
  <c r="E121" i="1"/>
  <c r="E108" i="1"/>
  <c r="D121" i="1"/>
  <c r="D120" i="1"/>
  <c r="D103" i="1"/>
  <c r="C121" i="1"/>
  <c r="C120" i="1"/>
  <c r="C103" i="1"/>
  <c r="E55" i="2"/>
  <c r="F46" i="2"/>
  <c r="F45" i="2"/>
  <c r="E45" i="2"/>
  <c r="E53" i="2"/>
  <c r="E52" i="2"/>
  <c r="E49" i="2"/>
  <c r="E48" i="2"/>
  <c r="J118" i="1"/>
  <c r="E118" i="1"/>
  <c r="P32" i="2"/>
  <c r="P31" i="2"/>
  <c r="O31" i="2"/>
  <c r="C114" i="1"/>
  <c r="C112" i="1"/>
  <c r="O108" i="1"/>
  <c r="O14" i="2"/>
  <c r="O13" i="2"/>
  <c r="O12" i="2"/>
  <c r="F9" i="2"/>
  <c r="O11" i="2"/>
  <c r="O19" i="2"/>
  <c r="O18" i="2"/>
  <c r="M15" i="2"/>
  <c r="O17" i="2"/>
  <c r="O33" i="2"/>
  <c r="O32" i="2"/>
  <c r="Q31" i="2"/>
  <c r="Q30" i="2"/>
  <c r="O30" i="2"/>
  <c r="O28" i="2"/>
  <c r="N29" i="2"/>
  <c r="N28" i="2"/>
  <c r="C105" i="1"/>
  <c r="C68" i="1"/>
  <c r="O89" i="1"/>
  <c r="D89" i="1"/>
  <c r="C89" i="1"/>
  <c r="C88" i="1"/>
  <c r="C83" i="1"/>
  <c r="C81" i="1"/>
  <c r="C80" i="1"/>
  <c r="M16" i="2"/>
  <c r="M14" i="2"/>
  <c r="C75" i="1"/>
  <c r="H29" i="2"/>
  <c r="H28" i="2"/>
  <c r="H27" i="2"/>
  <c r="H26" i="2"/>
  <c r="F30" i="2"/>
  <c r="F29" i="2"/>
  <c r="F28" i="2"/>
  <c r="F27" i="2"/>
  <c r="G20" i="2"/>
  <c r="F26" i="2"/>
  <c r="E30" i="2"/>
  <c r="E29" i="2"/>
  <c r="E28" i="2"/>
  <c r="E27" i="2"/>
  <c r="E26" i="2"/>
  <c r="D47" i="1"/>
  <c r="C47" i="1"/>
  <c r="C71" i="1"/>
  <c r="C61" i="1"/>
  <c r="C59" i="1"/>
  <c r="C57" i="1"/>
  <c r="C55" i="1"/>
  <c r="G19" i="2"/>
  <c r="I19" i="2"/>
  <c r="H19" i="2"/>
  <c r="G22" i="2"/>
  <c r="G21" i="2"/>
  <c r="G15" i="2"/>
  <c r="G14" i="2"/>
  <c r="G13" i="2"/>
  <c r="M9" i="2"/>
  <c r="L9" i="2"/>
  <c r="G12" i="2"/>
  <c r="G11" i="2"/>
  <c r="F10" i="2"/>
  <c r="G10" i="2"/>
  <c r="F108" i="1" l="1"/>
  <c r="O106" i="1"/>
  <c r="M8" i="2"/>
  <c r="C60" i="1"/>
  <c r="L139" i="1"/>
  <c r="F8" i="2"/>
  <c r="O26" i="2" l="1"/>
  <c r="E50" i="2"/>
  <c r="P35" i="2" l="1"/>
  <c r="H47" i="2" s="1"/>
  <c r="Q34" i="2"/>
  <c r="H116" i="1"/>
  <c r="E114" i="1"/>
  <c r="F114" i="1"/>
  <c r="G114" i="1"/>
  <c r="H114" i="1"/>
  <c r="I114" i="1"/>
  <c r="J114" i="1"/>
  <c r="K114" i="1"/>
  <c r="L114" i="1"/>
  <c r="M114" i="1"/>
  <c r="N114" i="1"/>
  <c r="D114" i="1"/>
  <c r="C113" i="1"/>
  <c r="L35" i="2"/>
  <c r="L34" i="2"/>
  <c r="L36" i="2" s="1"/>
  <c r="C111" i="1" s="1"/>
  <c r="A13" i="2"/>
  <c r="O29" i="2"/>
  <c r="O87" i="1"/>
  <c r="O85" i="1"/>
  <c r="C85" i="1" s="1"/>
  <c r="O84" i="1"/>
  <c r="C84" i="1" s="1"/>
  <c r="J10" i="2"/>
  <c r="I47" i="2" l="1"/>
  <c r="M47" i="2"/>
  <c r="N47" i="2" s="1"/>
  <c r="Q35" i="2"/>
  <c r="F119" i="1" s="1"/>
  <c r="C82" i="1"/>
  <c r="E81" i="1"/>
  <c r="F81" i="1"/>
  <c r="G81" i="1"/>
  <c r="H81" i="1"/>
  <c r="I81" i="1"/>
  <c r="J81" i="1"/>
  <c r="K81" i="1"/>
  <c r="L81" i="1"/>
  <c r="M81" i="1"/>
  <c r="N81" i="1"/>
  <c r="D81" i="1"/>
  <c r="C79" i="1"/>
  <c r="L16" i="2"/>
  <c r="L19" i="2" s="1"/>
  <c r="L8" i="2"/>
  <c r="A14" i="1"/>
  <c r="F72" i="1"/>
  <c r="C41" i="1"/>
  <c r="D41" i="1" s="1"/>
  <c r="D60" i="1"/>
  <c r="D61" i="1" s="1"/>
  <c r="E60" i="1"/>
  <c r="E61" i="1" s="1"/>
  <c r="F60" i="1"/>
  <c r="F61" i="1" s="1"/>
  <c r="G60" i="1"/>
  <c r="G61" i="1" s="1"/>
  <c r="H60" i="1"/>
  <c r="H61" i="1" s="1"/>
  <c r="I60" i="1"/>
  <c r="I61" i="1" s="1"/>
  <c r="J60" i="1"/>
  <c r="J61" i="1" s="1"/>
  <c r="K60" i="1"/>
  <c r="K61" i="1" s="1"/>
  <c r="L60" i="1"/>
  <c r="L61" i="1" s="1"/>
  <c r="M60" i="1"/>
  <c r="M61" i="1" s="1"/>
  <c r="N60" i="1"/>
  <c r="N61" i="1" s="1"/>
  <c r="D58" i="1"/>
  <c r="D59" i="1" s="1"/>
  <c r="E58" i="1"/>
  <c r="E59" i="1" s="1"/>
  <c r="F58" i="1"/>
  <c r="F59" i="1" s="1"/>
  <c r="G58" i="1"/>
  <c r="G59" i="1" s="1"/>
  <c r="H58" i="1"/>
  <c r="H59" i="1" s="1"/>
  <c r="I58" i="1"/>
  <c r="I59" i="1" s="1"/>
  <c r="J58" i="1"/>
  <c r="J59" i="1" s="1"/>
  <c r="K58" i="1"/>
  <c r="K59" i="1" s="1"/>
  <c r="L58" i="1"/>
  <c r="L59" i="1" s="1"/>
  <c r="M58" i="1"/>
  <c r="M59" i="1" s="1"/>
  <c r="N58" i="1"/>
  <c r="N59" i="1" s="1"/>
  <c r="C58" i="1"/>
  <c r="D56" i="1"/>
  <c r="D57" i="1" s="1"/>
  <c r="E56" i="1"/>
  <c r="E57" i="1" s="1"/>
  <c r="F56" i="1"/>
  <c r="F57" i="1" s="1"/>
  <c r="G56" i="1"/>
  <c r="G57" i="1" s="1"/>
  <c r="H56" i="1"/>
  <c r="H57" i="1" s="1"/>
  <c r="I56" i="1"/>
  <c r="I57" i="1" s="1"/>
  <c r="J56" i="1"/>
  <c r="J57" i="1" s="1"/>
  <c r="K56" i="1"/>
  <c r="K57" i="1" s="1"/>
  <c r="L56" i="1"/>
  <c r="L57" i="1" s="1"/>
  <c r="M56" i="1"/>
  <c r="M57" i="1" s="1"/>
  <c r="N56" i="1"/>
  <c r="N57" i="1" s="1"/>
  <c r="C56" i="1"/>
  <c r="C63" i="1" s="1"/>
  <c r="D55" i="1"/>
  <c r="E55" i="1"/>
  <c r="F55" i="1"/>
  <c r="G55" i="1"/>
  <c r="H55" i="1"/>
  <c r="I55" i="1"/>
  <c r="J55" i="1"/>
  <c r="K55" i="1"/>
  <c r="L55" i="1"/>
  <c r="M55" i="1"/>
  <c r="N55" i="1"/>
  <c r="E63" i="1" l="1"/>
  <c r="E68" i="1" s="1"/>
  <c r="K63" i="1"/>
  <c r="C64" i="1"/>
  <c r="C65" i="1"/>
  <c r="C72" i="1"/>
  <c r="F117" i="1"/>
  <c r="I117" i="1" s="1"/>
  <c r="N63" i="1"/>
  <c r="N64" i="1" s="1"/>
  <c r="N65" i="1" s="1"/>
  <c r="N105" i="1" s="1"/>
  <c r="I63" i="1"/>
  <c r="I68" i="1" s="1"/>
  <c r="H63" i="1"/>
  <c r="H64" i="1" s="1"/>
  <c r="H65" i="1" s="1"/>
  <c r="H105" i="1" s="1"/>
  <c r="M63" i="1"/>
  <c r="M64" i="1" s="1"/>
  <c r="M65" i="1" s="1"/>
  <c r="M105" i="1" s="1"/>
  <c r="G63" i="1"/>
  <c r="G68" i="1" s="1"/>
  <c r="L63" i="1"/>
  <c r="L68" i="1" s="1"/>
  <c r="F63" i="1"/>
  <c r="F64" i="1" s="1"/>
  <c r="F65" i="1" s="1"/>
  <c r="F105" i="1" s="1"/>
  <c r="J63" i="1"/>
  <c r="J64" i="1" s="1"/>
  <c r="J65" i="1" s="1"/>
  <c r="J105" i="1" s="1"/>
  <c r="D63" i="1"/>
  <c r="D64" i="1" s="1"/>
  <c r="D65" i="1" s="1"/>
  <c r="D105" i="1" s="1"/>
  <c r="K68" i="1"/>
  <c r="K64" i="1"/>
  <c r="K65" i="1" s="1"/>
  <c r="K105" i="1" s="1"/>
  <c r="J68" i="1"/>
  <c r="G72" i="1"/>
  <c r="H10" i="2"/>
  <c r="H15" i="2" s="1"/>
  <c r="D15" i="2"/>
  <c r="E37" i="1"/>
  <c r="F37" i="1"/>
  <c r="G37" i="1"/>
  <c r="H37" i="1"/>
  <c r="H38" i="1" s="1"/>
  <c r="I37" i="1"/>
  <c r="I38" i="1" s="1"/>
  <c r="J37" i="1"/>
  <c r="K37" i="1"/>
  <c r="K38" i="1" s="1"/>
  <c r="L37" i="1"/>
  <c r="L38" i="1" s="1"/>
  <c r="M37" i="1"/>
  <c r="M38" i="1" s="1"/>
  <c r="M39" i="1" s="1"/>
  <c r="N37" i="1"/>
  <c r="N38" i="1" s="1"/>
  <c r="D37" i="1"/>
  <c r="D38" i="1" s="1"/>
  <c r="D39" i="1" s="1"/>
  <c r="C36" i="1"/>
  <c r="C37" i="1" s="1"/>
  <c r="E28" i="1"/>
  <c r="F28" i="1"/>
  <c r="G28" i="1"/>
  <c r="G29" i="1" s="1"/>
  <c r="H28" i="1"/>
  <c r="H29" i="1" s="1"/>
  <c r="I28" i="1"/>
  <c r="J28" i="1"/>
  <c r="J29" i="1" s="1"/>
  <c r="K28" i="1"/>
  <c r="L28" i="1"/>
  <c r="M28" i="1"/>
  <c r="M29" i="1" s="1"/>
  <c r="N28" i="1"/>
  <c r="N29" i="1" s="1"/>
  <c r="D28" i="1"/>
  <c r="D29" i="1" s="1"/>
  <c r="D30" i="1" s="1"/>
  <c r="C28" i="1"/>
  <c r="E19" i="1"/>
  <c r="F19" i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D19" i="1"/>
  <c r="C19" i="1"/>
  <c r="C20" i="1" s="1"/>
  <c r="M117" i="1" l="1"/>
  <c r="O117" i="1" s="1"/>
  <c r="E64" i="1"/>
  <c r="E65" i="1" s="1"/>
  <c r="E105" i="1" s="1"/>
  <c r="J139" i="1"/>
  <c r="I139" i="1" s="1"/>
  <c r="E106" i="1"/>
  <c r="G64" i="1"/>
  <c r="G65" i="1" s="1"/>
  <c r="G105" i="1" s="1"/>
  <c r="P26" i="2"/>
  <c r="P25" i="2" s="1"/>
  <c r="D110" i="1" s="1"/>
  <c r="K32" i="2"/>
  <c r="N68" i="1"/>
  <c r="F68" i="1"/>
  <c r="I64" i="1"/>
  <c r="I65" i="1" s="1"/>
  <c r="I105" i="1" s="1"/>
  <c r="L64" i="1"/>
  <c r="L65" i="1" s="1"/>
  <c r="L105" i="1" s="1"/>
  <c r="D68" i="1"/>
  <c r="J38" i="1"/>
  <c r="J39" i="1" s="1"/>
  <c r="M68" i="1"/>
  <c r="H68" i="1"/>
  <c r="I29" i="1"/>
  <c r="I30" i="1" s="1"/>
  <c r="J21" i="1"/>
  <c r="I21" i="1"/>
  <c r="F29" i="1"/>
  <c r="F30" i="1" s="1"/>
  <c r="E29" i="1"/>
  <c r="E30" i="1" s="1"/>
  <c r="L29" i="1"/>
  <c r="L30" i="1" s="1"/>
  <c r="J30" i="1"/>
  <c r="L39" i="1"/>
  <c r="G38" i="1"/>
  <c r="G39" i="1" s="1"/>
  <c r="L21" i="1"/>
  <c r="F20" i="1"/>
  <c r="F21" i="1" s="1"/>
  <c r="K29" i="1"/>
  <c r="K30" i="1" s="1"/>
  <c r="K39" i="1"/>
  <c r="F38" i="1"/>
  <c r="F39" i="1" s="1"/>
  <c r="K21" i="1"/>
  <c r="E20" i="1"/>
  <c r="E21" i="1" s="1"/>
  <c r="E38" i="1"/>
  <c r="E39" i="1" s="1"/>
  <c r="H72" i="1"/>
  <c r="C38" i="1"/>
  <c r="C39" i="1" s="1"/>
  <c r="H12" i="2"/>
  <c r="H13" i="2"/>
  <c r="I39" i="1"/>
  <c r="N21" i="1"/>
  <c r="N30" i="1"/>
  <c r="H39" i="1"/>
  <c r="C29" i="1"/>
  <c r="C30" i="1" s="1"/>
  <c r="H21" i="1"/>
  <c r="H30" i="1"/>
  <c r="M21" i="1"/>
  <c r="G21" i="1"/>
  <c r="M30" i="1"/>
  <c r="G30" i="1"/>
  <c r="N39" i="1"/>
  <c r="H14" i="2"/>
  <c r="C74" i="1"/>
  <c r="C21" i="1"/>
  <c r="D20" i="1"/>
  <c r="D21" i="1" s="1"/>
  <c r="L28" i="2" l="1"/>
  <c r="C109" i="1"/>
  <c r="I140" i="1"/>
  <c r="F106" i="1"/>
  <c r="G106" i="1" s="1"/>
  <c r="H106" i="1" s="1"/>
  <c r="I106" i="1" s="1"/>
  <c r="J106" i="1" s="1"/>
  <c r="K106" i="1" s="1"/>
  <c r="L106" i="1" s="1"/>
  <c r="M106" i="1" s="1"/>
  <c r="I72" i="1"/>
  <c r="H11" i="2"/>
  <c r="H16" i="2" s="1"/>
  <c r="G45" i="1"/>
  <c r="C42" i="1"/>
  <c r="N106" i="1" l="1"/>
  <c r="C142" i="1" s="1"/>
  <c r="H20" i="2"/>
  <c r="J72" i="1"/>
  <c r="H21" i="2"/>
  <c r="H22" i="2"/>
  <c r="O52" i="1"/>
  <c r="C43" i="1"/>
  <c r="C44" i="1" s="1"/>
  <c r="M45" i="1"/>
  <c r="J45" i="1"/>
  <c r="E10" i="1"/>
  <c r="E47" i="1" s="1"/>
  <c r="F10" i="1"/>
  <c r="F47" i="1" s="1"/>
  <c r="G10" i="1"/>
  <c r="G47" i="1" s="1"/>
  <c r="H10" i="1"/>
  <c r="H47" i="1" s="1"/>
  <c r="I10" i="1"/>
  <c r="I47" i="1" s="1"/>
  <c r="J10" i="1"/>
  <c r="J47" i="1" s="1"/>
  <c r="K10" i="1"/>
  <c r="K47" i="1" s="1"/>
  <c r="L10" i="1"/>
  <c r="L47" i="1" s="1"/>
  <c r="M10" i="1"/>
  <c r="M47" i="1" s="1"/>
  <c r="M71" i="1" s="1"/>
  <c r="N10" i="1"/>
  <c r="N47" i="1" s="1"/>
  <c r="N71" i="1" s="1"/>
  <c r="D10" i="1"/>
  <c r="C9" i="1"/>
  <c r="A13" i="1" s="1"/>
  <c r="H71" i="1" l="1"/>
  <c r="H88" i="1" s="1"/>
  <c r="H89" i="1" s="1"/>
  <c r="J108" i="1"/>
  <c r="J120" i="1" s="1"/>
  <c r="L71" i="1"/>
  <c r="N108" i="1"/>
  <c r="J71" i="1"/>
  <c r="J88" i="1" s="1"/>
  <c r="J89" i="1" s="1"/>
  <c r="L108" i="1"/>
  <c r="F71" i="1"/>
  <c r="F88" i="1" s="1"/>
  <c r="F89" i="1" s="1"/>
  <c r="H108" i="1"/>
  <c r="H120" i="1" s="1"/>
  <c r="K71" i="1"/>
  <c r="M108" i="1"/>
  <c r="E71" i="1"/>
  <c r="E88" i="1" s="1"/>
  <c r="E89" i="1" s="1"/>
  <c r="G108" i="1"/>
  <c r="D71" i="1"/>
  <c r="D88" i="1" s="1"/>
  <c r="I71" i="1"/>
  <c r="I88" i="1" s="1"/>
  <c r="I89" i="1" s="1"/>
  <c r="K108" i="1"/>
  <c r="G71" i="1"/>
  <c r="G88" i="1" s="1"/>
  <c r="G89" i="1" s="1"/>
  <c r="I108" i="1"/>
  <c r="I22" i="2"/>
  <c r="I20" i="2"/>
  <c r="I21" i="2"/>
  <c r="K72" i="1"/>
  <c r="K88" i="1" s="1"/>
  <c r="K89" i="1" s="1"/>
  <c r="C45" i="1"/>
  <c r="C10" i="1"/>
  <c r="I11" i="1"/>
  <c r="I12" i="1" s="1"/>
  <c r="E11" i="1"/>
  <c r="E12" i="1" s="1"/>
  <c r="L11" i="1"/>
  <c r="L12" i="1" s="1"/>
  <c r="H11" i="1"/>
  <c r="H12" i="1" s="1"/>
  <c r="K11" i="1"/>
  <c r="K12" i="1" s="1"/>
  <c r="D11" i="1"/>
  <c r="D12" i="1" s="1"/>
  <c r="G11" i="1"/>
  <c r="G12" i="1" s="1"/>
  <c r="N11" i="1"/>
  <c r="N12" i="1" s="1"/>
  <c r="J11" i="1"/>
  <c r="J12" i="1" s="1"/>
  <c r="F11" i="1"/>
  <c r="F12" i="1" s="1"/>
  <c r="M11" i="1"/>
  <c r="M12" i="1" s="1"/>
  <c r="E103" i="1" l="1"/>
  <c r="N38" i="2"/>
  <c r="N39" i="2" s="1"/>
  <c r="I137" i="1"/>
  <c r="H48" i="2"/>
  <c r="H30" i="2"/>
  <c r="C11" i="1"/>
  <c r="C12" i="1" s="1"/>
  <c r="L72" i="1"/>
  <c r="L88" i="1" s="1"/>
  <c r="L89" i="1" s="1"/>
  <c r="F103" i="1" l="1"/>
  <c r="F121" i="1" s="1"/>
  <c r="I48" i="2"/>
  <c r="I51" i="2" s="1"/>
  <c r="M48" i="2"/>
  <c r="N37" i="2"/>
  <c r="N40" i="2" s="1"/>
  <c r="N41" i="2" s="1"/>
  <c r="G16" i="2"/>
  <c r="M72" i="1"/>
  <c r="M88" i="1" s="1"/>
  <c r="M89" i="1" s="1"/>
  <c r="G27" i="2" l="1"/>
  <c r="G103" i="1"/>
  <c r="G121" i="1" s="1"/>
  <c r="O50" i="2"/>
  <c r="L119" i="1" s="1"/>
  <c r="L120" i="1" s="1"/>
  <c r="R47" i="2"/>
  <c r="I119" i="1"/>
  <c r="I120" i="1" s="1"/>
  <c r="G29" i="2"/>
  <c r="G28" i="2"/>
  <c r="N72" i="1"/>
  <c r="N88" i="1" s="1"/>
  <c r="N89" i="1" s="1"/>
  <c r="H103" i="1" l="1"/>
  <c r="H121" i="1" s="1"/>
  <c r="I131" i="1"/>
  <c r="O119" i="1"/>
  <c r="I138" i="1" s="1"/>
  <c r="G26" i="2"/>
  <c r="G30" i="2" s="1"/>
  <c r="I144" i="1" l="1"/>
  <c r="I103" i="1"/>
  <c r="I121" i="1" l="1"/>
  <c r="J103" i="1" s="1"/>
  <c r="J121" i="1" l="1"/>
  <c r="K103" i="1" s="1"/>
  <c r="K121" i="1" s="1"/>
  <c r="L103" i="1" s="1"/>
  <c r="L121" i="1" s="1"/>
  <c r="M103" i="1" s="1"/>
  <c r="M121" i="1" s="1"/>
  <c r="N103" i="1" s="1"/>
  <c r="N121" i="1" s="1"/>
  <c r="C145" i="1" l="1"/>
  <c r="C147" i="1" s="1"/>
</calcChain>
</file>

<file path=xl/sharedStrings.xml><?xml version="1.0" encoding="utf-8"?>
<sst xmlns="http://schemas.openxmlformats.org/spreadsheetml/2006/main" count="272" uniqueCount="203">
  <si>
    <t>EXERCICIO PAPAGAIO</t>
  </si>
  <si>
    <t>PRESUPOSTO DE C0MPRAS</t>
  </si>
  <si>
    <t>XANE</t>
  </si>
  <si>
    <t>FEBR</t>
  </si>
  <si>
    <t>MARZO</t>
  </si>
  <si>
    <t>ABRIL</t>
  </si>
  <si>
    <t>MAIO</t>
  </si>
  <si>
    <t>XUÑO</t>
  </si>
  <si>
    <t xml:space="preserve">XULLO </t>
  </si>
  <si>
    <t>AGOST</t>
  </si>
  <si>
    <t>SET</t>
  </si>
  <si>
    <t>OUT</t>
  </si>
  <si>
    <t>NOV</t>
  </si>
  <si>
    <t>DEC</t>
  </si>
  <si>
    <t>UNI VEN</t>
  </si>
  <si>
    <t>PTO A</t>
  </si>
  <si>
    <t>EXST IN</t>
  </si>
  <si>
    <t>EXIS FIN</t>
  </si>
  <si>
    <t>UNID A COM</t>
  </si>
  <si>
    <t>PRECIO 33 €</t>
  </si>
  <si>
    <t>IVE 21%</t>
  </si>
  <si>
    <t>IMPO TOTAL</t>
  </si>
  <si>
    <t>CC</t>
  </si>
  <si>
    <t>D</t>
  </si>
  <si>
    <t>F.P.</t>
  </si>
  <si>
    <t>MEC EQUI</t>
  </si>
  <si>
    <t>IT</t>
  </si>
  <si>
    <t>IMS</t>
  </si>
  <si>
    <t>PTO B</t>
  </si>
  <si>
    <t>UN VEN</t>
  </si>
  <si>
    <t>EXS FIN</t>
  </si>
  <si>
    <t xml:space="preserve">EXIT IN </t>
  </si>
  <si>
    <t>UNI COM</t>
  </si>
  <si>
    <t>PT C</t>
  </si>
  <si>
    <t>FEB</t>
  </si>
  <si>
    <t>PT D</t>
  </si>
  <si>
    <t>ALUGUER</t>
  </si>
  <si>
    <t>NOTA PRECIO  DE VENDA CALCULAR SOBRE O COSTE DE FEBREIRO EN ADIANTE</t>
  </si>
  <si>
    <t>FGS</t>
  </si>
  <si>
    <t>PRESU COMPRAS PTO B</t>
  </si>
  <si>
    <t>PRECIO 46 €</t>
  </si>
  <si>
    <t>PRESUPOSTO COMPRAS PTO C</t>
  </si>
  <si>
    <t>PRECIO 36 €</t>
  </si>
  <si>
    <t>PRESUPOSTO COMPRAS PTO D</t>
  </si>
  <si>
    <t>PRECIO 50 €</t>
  </si>
  <si>
    <t>COTIZACION</t>
  </si>
  <si>
    <t>TOTAL</t>
  </si>
  <si>
    <t>SALARIOS MES</t>
  </si>
  <si>
    <t>S. SOCIAL</t>
  </si>
  <si>
    <t>TOTAL C SAL</t>
  </si>
  <si>
    <t>UDES PRODUC</t>
  </si>
  <si>
    <t>XANEIRO</t>
  </si>
  <si>
    <t>FEBREIRO</t>
  </si>
  <si>
    <t>AMORTIZACION MAQUINARIA</t>
  </si>
  <si>
    <t>AMORT MAQ</t>
  </si>
  <si>
    <t>AMO E TRANS</t>
  </si>
  <si>
    <t>AMOR ELEM TRANSPOR</t>
  </si>
  <si>
    <t>COMBUSTIBLE</t>
  </si>
  <si>
    <t>T  C/U GTOS COM</t>
  </si>
  <si>
    <t>COSTE X PRODUTO</t>
  </si>
  <si>
    <t>PTO C</t>
  </si>
  <si>
    <t>PRECIO DE VENDA</t>
  </si>
  <si>
    <t>PRESUPOSTO DE VENDAS</t>
  </si>
  <si>
    <t>AGOSTO</t>
  </si>
  <si>
    <t>SETEMBRO</t>
  </si>
  <si>
    <t>OUTUBRO</t>
  </si>
  <si>
    <t>NOVEMBRO</t>
  </si>
  <si>
    <t>XULLO</t>
  </si>
  <si>
    <t>DECEMBRO</t>
  </si>
  <si>
    <t>UNID VENDI</t>
  </si>
  <si>
    <t>IMPORTE</t>
  </si>
  <si>
    <t>PRECIO 58´52</t>
  </si>
  <si>
    <t>PTO B 78´02</t>
  </si>
  <si>
    <t>PTO C 63´02</t>
  </si>
  <si>
    <t>PTO D 84´02</t>
  </si>
  <si>
    <t>T. VENDAS</t>
  </si>
  <si>
    <t>IVE</t>
  </si>
  <si>
    <t>IMP TOTAL</t>
  </si>
  <si>
    <t>VALORACION EXSTENCIAS</t>
  </si>
  <si>
    <t>INIC</t>
  </si>
  <si>
    <t>FINAIS</t>
  </si>
  <si>
    <t>PTO D</t>
  </si>
  <si>
    <t>CONTA DE RESULTADOS</t>
  </si>
  <si>
    <t xml:space="preserve">INGRESOS </t>
  </si>
  <si>
    <t>GASTOS</t>
  </si>
  <si>
    <t>COMPRAS</t>
  </si>
  <si>
    <t>T. COMPRAS</t>
  </si>
  <si>
    <t>EXST INIC</t>
  </si>
  <si>
    <t>EXISTE FINA</t>
  </si>
  <si>
    <t>UN CO</t>
  </si>
  <si>
    <t>UNICOMPR XANEIRO</t>
  </si>
  <si>
    <t>C UNIT TRAB</t>
  </si>
  <si>
    <t>inic feb</t>
  </si>
  <si>
    <t>finais febrio</t>
  </si>
  <si>
    <t>repítese</t>
  </si>
  <si>
    <t>cost sal oper</t>
  </si>
  <si>
    <t>cost sa advo</t>
  </si>
  <si>
    <t>coste salarial administrativo</t>
  </si>
  <si>
    <t>S SOCIAL %</t>
  </si>
  <si>
    <t>ALUGUEIRO</t>
  </si>
  <si>
    <t>SERVIZOS</t>
  </si>
  <si>
    <t>COMBUST</t>
  </si>
  <si>
    <t>AMOT E TRA</t>
  </si>
  <si>
    <t>AMO A INF</t>
  </si>
  <si>
    <t>AMOR EPI</t>
  </si>
  <si>
    <t>AMO MOBIL</t>
  </si>
  <si>
    <t>AMOR MOB</t>
  </si>
  <si>
    <t>PRIMAS SEG</t>
  </si>
  <si>
    <t>GTOS C/CRED</t>
  </si>
  <si>
    <t>ASESORIA</t>
  </si>
  <si>
    <t>PUBLICIDADE</t>
  </si>
  <si>
    <t>TOTAL GTOS</t>
  </si>
  <si>
    <t>RTDO</t>
  </si>
  <si>
    <t>RTD ANUAL</t>
  </si>
  <si>
    <t>CÁLCULOS TESOURARÍA</t>
  </si>
  <si>
    <t>SDO IN BCO</t>
  </si>
  <si>
    <t>TESOURARIA</t>
  </si>
  <si>
    <t>1/1/X0</t>
  </si>
  <si>
    <t>COBROS BNCE</t>
  </si>
  <si>
    <t>PAGOS BA</t>
  </si>
  <si>
    <t>COBROS EXER</t>
  </si>
  <si>
    <t>SALARIOS</t>
  </si>
  <si>
    <t xml:space="preserve">SALARIOS </t>
  </si>
  <si>
    <t>RETENCION</t>
  </si>
  <si>
    <t>S.SOC TRAB</t>
  </si>
  <si>
    <t>COT TRABAL</t>
  </si>
  <si>
    <t>LIQUIDO</t>
  </si>
  <si>
    <t>S.SOCIAL</t>
  </si>
  <si>
    <t>CONTA 476</t>
  </si>
  <si>
    <t>BALANCE</t>
  </si>
  <si>
    <t>RET</t>
  </si>
  <si>
    <t>TOTAL FRA</t>
  </si>
  <si>
    <t>P SEGURO FURG</t>
  </si>
  <si>
    <t xml:space="preserve">PAGO IVE </t>
  </si>
  <si>
    <t>IVE DEVENGADO TRIMESTRE</t>
  </si>
  <si>
    <t>MES</t>
  </si>
  <si>
    <t>IVE DEDUCIBLE</t>
  </si>
  <si>
    <t xml:space="preserve">IVE </t>
  </si>
  <si>
    <t xml:space="preserve">IVE SOPÒRTADO </t>
  </si>
  <si>
    <t>1º TRIMESTRE</t>
  </si>
  <si>
    <t>COMBUS</t>
  </si>
  <si>
    <t>ASESOR</t>
  </si>
  <si>
    <t>PUBLI</t>
  </si>
  <si>
    <t>A INGRES  EN ABRIL</t>
  </si>
  <si>
    <t>2º TRIMESTRE</t>
  </si>
  <si>
    <t>VENDAS</t>
  </si>
  <si>
    <t>T GTOS</t>
  </si>
  <si>
    <t>IVE DEDUC</t>
  </si>
  <si>
    <t>A INGR XULLO</t>
  </si>
  <si>
    <t>3º TRIMESTRE</t>
  </si>
  <si>
    <t>A INGRESAR</t>
  </si>
  <si>
    <t>PUBLIC</t>
  </si>
  <si>
    <t>4º TRIMESTRE IGUAL QUE SEGUNDO</t>
  </si>
  <si>
    <t>FP ACE X IVE</t>
  </si>
  <si>
    <t>CLIENTES</t>
  </si>
  <si>
    <t>PROVEDORES</t>
  </si>
  <si>
    <t>SDO</t>
  </si>
  <si>
    <t>SALDO</t>
  </si>
  <si>
    <t>TOTAL PAGOS</t>
  </si>
  <si>
    <t xml:space="preserve">SDO BANCOS </t>
  </si>
  <si>
    <t>BALANCE SITUACIÓN</t>
  </si>
  <si>
    <t>31/12/X0</t>
  </si>
  <si>
    <t>ACTIVO</t>
  </si>
  <si>
    <t>INMOBILIZZADO</t>
  </si>
  <si>
    <t>INMOB MATER</t>
  </si>
  <si>
    <t>APLIC INFOR</t>
  </si>
  <si>
    <t>MAQUINARIA</t>
  </si>
  <si>
    <t>.A.I.M.</t>
  </si>
  <si>
    <t>MOBILIARIO</t>
  </si>
  <si>
    <t>A.A.I.M.</t>
  </si>
  <si>
    <t>E. P.I.</t>
  </si>
  <si>
    <t>ELEMENT TRANS</t>
  </si>
  <si>
    <t>ACTIVO CORRENTE</t>
  </si>
  <si>
    <t>EXISTENCIAS</t>
  </si>
  <si>
    <t>MERCADERIAS</t>
  </si>
  <si>
    <t>REALIZABLE</t>
  </si>
  <si>
    <t>DISPOÑIBLE</t>
  </si>
  <si>
    <t>CAIXA</t>
  </si>
  <si>
    <t>BANCOS C/C</t>
  </si>
  <si>
    <t>TOTAL ACTIVO</t>
  </si>
  <si>
    <t>REMANENTE</t>
  </si>
  <si>
    <t>CAPITAL SOCIAL</t>
  </si>
  <si>
    <t>RESERVAS LEGAIS</t>
  </si>
  <si>
    <t>RESERVAS VOLUNT</t>
  </si>
  <si>
    <t>RESERVAS ESTAT</t>
  </si>
  <si>
    <t>RTDO EXERCICIO</t>
  </si>
  <si>
    <t>PASIVO</t>
  </si>
  <si>
    <t>DEUDAS L/P E.C.</t>
  </si>
  <si>
    <t>PROVED INM L/P</t>
  </si>
  <si>
    <t>PASIVO NON COR</t>
  </si>
  <si>
    <t>PASIVO CORRENTE</t>
  </si>
  <si>
    <t>F.P. ACRED X IVE</t>
  </si>
  <si>
    <t>F.P. ACR X R PRA</t>
  </si>
  <si>
    <t>ORG S.S ACRD</t>
  </si>
  <si>
    <t>ORG S..S ACRED</t>
  </si>
  <si>
    <t>TRIME</t>
  </si>
  <si>
    <t>ORG S.S. ACR</t>
  </si>
  <si>
    <t>PAGO IRPF</t>
  </si>
  <si>
    <t>4751 F.P. ACR</t>
  </si>
  <si>
    <t>DEUDAS C/P C.D</t>
  </si>
  <si>
    <t>TOTAL PN+PASIVO</t>
  </si>
  <si>
    <t>A INGRESAR OU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</si>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</sst>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0" xfId="0" applyNumberFormat="1"/>
    <xf numFmtId="164" fontId="0" fillId="0" borderId="0" xfId="0" applyNumberFormat="1"/>
    <xf numFmtId="9" fontId="0" fillId="0" borderId="0" xfId="0" applyNumberFormat="1"/>
    <xf numFmtId="0" fontId="2" fillId="0" borderId="0" xfId="0" applyFont="1"/>
    <xf numFmtId="164" fontId="2" fillId="0" borderId="0" xfId="0" applyNumberFormat="1" applyFont="1"/>
    <xf numFmtId="43" fontId="2" fillId="0" borderId="0" xfId="0" applyNumberFormat="1" applyFont="1"/>
    <xf numFmtId="43" fontId="3" fillId="0" borderId="0" xfId="1" applyFont="1"/>
    <xf numFmtId="165" fontId="0" fillId="0" borderId="0" xfId="1" applyNumberFormat="1" applyFont="1"/>
    <xf numFmtId="43" fontId="4" fillId="0" borderId="0" xfId="1" applyFont="1"/>
    <xf numFmtId="165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9"/>
  <sheetViews>
    <sheetView tabSelected="1" topLeftCell="C112" zoomScale="130" zoomScaleNormal="130" workbookViewId="0">
      <selection activeCell="J150" sqref="J150"/>
    </sheetView>
  </sheetViews>
  <sheetFormatPr baseColWidth="10" defaultRowHeight="15" x14ac:dyDescent="0.25"/>
  <cols>
    <col min="1" max="1" width="13.28515625" customWidth="1"/>
    <col min="2" max="3" width="14" customWidth="1"/>
    <col min="4" max="4" width="13.5703125" customWidth="1"/>
    <col min="5" max="5" width="15" customWidth="1"/>
    <col min="6" max="6" width="12.5703125" customWidth="1"/>
    <col min="7" max="7" width="13" customWidth="1"/>
    <col min="8" max="8" width="17.140625" customWidth="1"/>
    <col min="9" max="9" width="13.140625" customWidth="1"/>
    <col min="10" max="10" width="13.42578125" customWidth="1"/>
    <col min="11" max="11" width="15.85546875" customWidth="1"/>
    <col min="12" max="12" width="12.5703125" customWidth="1"/>
    <col min="13" max="13" width="13.5703125" customWidth="1"/>
    <col min="14" max="14" width="13.85546875" customWidth="1"/>
    <col min="15" max="15" width="15.42578125" bestFit="1" customWidth="1"/>
    <col min="16" max="16" width="14.28515625" customWidth="1"/>
  </cols>
  <sheetData>
    <row r="2" spans="1:14" x14ac:dyDescent="0.25">
      <c r="D2" t="s">
        <v>0</v>
      </c>
    </row>
    <row r="3" spans="1:14" x14ac:dyDescent="0.25">
      <c r="G3" t="s">
        <v>15</v>
      </c>
    </row>
    <row r="4" spans="1:14" x14ac:dyDescent="0.25">
      <c r="D4" t="s">
        <v>1</v>
      </c>
    </row>
    <row r="5" spans="1:14" x14ac:dyDescent="0.25">
      <c r="B5" t="s">
        <v>15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x14ac:dyDescent="0.25">
      <c r="B6" t="s">
        <v>14</v>
      </c>
      <c r="C6" s="1">
        <v>500</v>
      </c>
      <c r="D6" s="1">
        <v>500</v>
      </c>
      <c r="E6" s="1">
        <v>500</v>
      </c>
      <c r="F6" s="1">
        <v>500</v>
      </c>
      <c r="G6" s="1">
        <v>500</v>
      </c>
      <c r="H6" s="1">
        <v>500</v>
      </c>
      <c r="I6" s="1">
        <v>500</v>
      </c>
      <c r="J6" s="1">
        <v>500</v>
      </c>
      <c r="K6" s="1">
        <v>500</v>
      </c>
      <c r="L6" s="1">
        <v>500</v>
      </c>
      <c r="M6" s="1">
        <v>500</v>
      </c>
      <c r="N6" s="1">
        <v>500</v>
      </c>
    </row>
    <row r="7" spans="1:14" x14ac:dyDescent="0.25">
      <c r="B7" t="s">
        <v>16</v>
      </c>
      <c r="C7" s="1">
        <v>450</v>
      </c>
      <c r="D7" s="1">
        <v>500</v>
      </c>
      <c r="E7" s="1">
        <v>500</v>
      </c>
      <c r="F7" s="1">
        <v>500</v>
      </c>
      <c r="G7" s="1">
        <v>500</v>
      </c>
      <c r="H7" s="1">
        <v>500</v>
      </c>
      <c r="I7" s="1">
        <v>500</v>
      </c>
      <c r="J7" s="1">
        <v>500</v>
      </c>
      <c r="K7" s="1">
        <v>500</v>
      </c>
      <c r="L7" s="1">
        <v>500</v>
      </c>
      <c r="M7" s="1">
        <v>500</v>
      </c>
      <c r="N7" s="1">
        <v>500</v>
      </c>
    </row>
    <row r="8" spans="1:14" x14ac:dyDescent="0.25">
      <c r="B8" t="s">
        <v>17</v>
      </c>
      <c r="C8" s="1">
        <v>500</v>
      </c>
      <c r="D8" s="1">
        <v>500</v>
      </c>
      <c r="E8" s="1">
        <v>500</v>
      </c>
      <c r="F8" s="1">
        <v>500</v>
      </c>
      <c r="G8" s="1">
        <v>500</v>
      </c>
      <c r="H8" s="1">
        <v>500</v>
      </c>
      <c r="I8" s="1">
        <v>500</v>
      </c>
      <c r="J8" s="1">
        <v>500</v>
      </c>
      <c r="K8" s="1">
        <v>500</v>
      </c>
      <c r="L8" s="1">
        <v>500</v>
      </c>
      <c r="M8" s="1">
        <v>500</v>
      </c>
      <c r="N8" s="1">
        <v>500</v>
      </c>
    </row>
    <row r="9" spans="1:14" x14ac:dyDescent="0.25">
      <c r="B9" t="s">
        <v>18</v>
      </c>
      <c r="C9" s="1">
        <f>500-450+500</f>
        <v>550</v>
      </c>
      <c r="D9" s="1">
        <v>500</v>
      </c>
      <c r="E9" s="1">
        <v>500</v>
      </c>
      <c r="F9" s="1">
        <v>500</v>
      </c>
      <c r="G9" s="1">
        <v>500</v>
      </c>
      <c r="H9" s="1">
        <v>500</v>
      </c>
      <c r="I9" s="1">
        <v>500</v>
      </c>
      <c r="J9" s="1">
        <v>500</v>
      </c>
      <c r="K9" s="1">
        <v>500</v>
      </c>
      <c r="L9" s="1">
        <v>500</v>
      </c>
      <c r="M9" s="1">
        <v>500</v>
      </c>
      <c r="N9" s="1">
        <v>500</v>
      </c>
    </row>
    <row r="10" spans="1:14" x14ac:dyDescent="0.25">
      <c r="B10" t="s">
        <v>19</v>
      </c>
      <c r="C10" s="1">
        <f>C9*33</f>
        <v>18150</v>
      </c>
      <c r="D10" s="1">
        <f>D9*33</f>
        <v>16500</v>
      </c>
      <c r="E10" s="1">
        <f t="shared" ref="E10:N10" si="0">E9*33</f>
        <v>16500</v>
      </c>
      <c r="F10" s="1">
        <f t="shared" si="0"/>
        <v>16500</v>
      </c>
      <c r="G10" s="1">
        <f t="shared" si="0"/>
        <v>16500</v>
      </c>
      <c r="H10" s="1">
        <f t="shared" si="0"/>
        <v>16500</v>
      </c>
      <c r="I10" s="1">
        <f t="shared" si="0"/>
        <v>16500</v>
      </c>
      <c r="J10" s="1">
        <f t="shared" si="0"/>
        <v>16500</v>
      </c>
      <c r="K10" s="1">
        <f t="shared" si="0"/>
        <v>16500</v>
      </c>
      <c r="L10" s="1">
        <f t="shared" si="0"/>
        <v>16500</v>
      </c>
      <c r="M10" s="1">
        <f t="shared" si="0"/>
        <v>16500</v>
      </c>
      <c r="N10" s="1">
        <f t="shared" si="0"/>
        <v>16500</v>
      </c>
    </row>
    <row r="11" spans="1:14" x14ac:dyDescent="0.25">
      <c r="B11" t="s">
        <v>20</v>
      </c>
      <c r="C11" s="1">
        <f>C10*0.21</f>
        <v>3811.5</v>
      </c>
      <c r="D11" s="1">
        <f>D10*0.21</f>
        <v>3465</v>
      </c>
      <c r="E11" s="1">
        <f t="shared" ref="E11:N11" si="1">E10*0.21</f>
        <v>3465</v>
      </c>
      <c r="F11" s="1">
        <f t="shared" si="1"/>
        <v>3465</v>
      </c>
      <c r="G11" s="1">
        <f t="shared" si="1"/>
        <v>3465</v>
      </c>
      <c r="H11" s="1">
        <f t="shared" si="1"/>
        <v>3465</v>
      </c>
      <c r="I11" s="1">
        <f t="shared" si="1"/>
        <v>3465</v>
      </c>
      <c r="J11" s="1">
        <f t="shared" si="1"/>
        <v>3465</v>
      </c>
      <c r="K11" s="1">
        <f t="shared" si="1"/>
        <v>3465</v>
      </c>
      <c r="L11" s="1">
        <f t="shared" si="1"/>
        <v>3465</v>
      </c>
      <c r="M11" s="1">
        <f t="shared" si="1"/>
        <v>3465</v>
      </c>
      <c r="N11" s="1">
        <f t="shared" si="1"/>
        <v>3465</v>
      </c>
    </row>
    <row r="12" spans="1:14" x14ac:dyDescent="0.25">
      <c r="A12" t="s">
        <v>89</v>
      </c>
      <c r="B12" t="s">
        <v>21</v>
      </c>
      <c r="C12" s="1">
        <f>C10+C11</f>
        <v>21961.5</v>
      </c>
      <c r="D12" s="1">
        <f>D10+D11</f>
        <v>19965</v>
      </c>
      <c r="E12" s="1">
        <f t="shared" ref="E12:N12" si="2">E10+E11</f>
        <v>19965</v>
      </c>
      <c r="F12" s="1">
        <f t="shared" si="2"/>
        <v>19965</v>
      </c>
      <c r="G12" s="1">
        <f t="shared" si="2"/>
        <v>19965</v>
      </c>
      <c r="H12" s="1">
        <f t="shared" si="2"/>
        <v>19965</v>
      </c>
      <c r="I12" s="1">
        <f t="shared" si="2"/>
        <v>19965</v>
      </c>
      <c r="J12" s="1">
        <f t="shared" si="2"/>
        <v>19965</v>
      </c>
      <c r="K12" s="1">
        <f t="shared" si="2"/>
        <v>19965</v>
      </c>
      <c r="L12" s="1">
        <f t="shared" si="2"/>
        <v>19965</v>
      </c>
      <c r="M12" s="1">
        <f t="shared" si="2"/>
        <v>19965</v>
      </c>
      <c r="N12" s="1">
        <f t="shared" si="2"/>
        <v>19965</v>
      </c>
    </row>
    <row r="13" spans="1:14" x14ac:dyDescent="0.25">
      <c r="A13" s="4">
        <f>C9+C18+C27+C36</f>
        <v>1840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4">
        <f>D9+D18+D27+D36</f>
        <v>1690</v>
      </c>
      <c r="C14" s="1"/>
      <c r="D14" s="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B15" t="s">
        <v>14</v>
      </c>
      <c r="C15" s="1">
        <v>400</v>
      </c>
      <c r="D15" s="1">
        <v>400</v>
      </c>
      <c r="E15" s="1">
        <v>400</v>
      </c>
      <c r="F15" s="1">
        <v>400</v>
      </c>
      <c r="G15" s="1">
        <v>400</v>
      </c>
      <c r="H15" s="1">
        <v>400</v>
      </c>
      <c r="I15" s="1">
        <v>400</v>
      </c>
      <c r="J15" s="1">
        <v>400</v>
      </c>
      <c r="K15" s="1">
        <v>400</v>
      </c>
      <c r="L15" s="1">
        <v>400</v>
      </c>
      <c r="M15" s="1">
        <v>400</v>
      </c>
      <c r="N15" s="1">
        <v>400</v>
      </c>
    </row>
    <row r="16" spans="1:14" x14ac:dyDescent="0.25">
      <c r="B16" t="s">
        <v>16</v>
      </c>
      <c r="C16" s="1">
        <v>380</v>
      </c>
      <c r="D16" s="1">
        <v>400</v>
      </c>
      <c r="E16" s="1">
        <v>400</v>
      </c>
      <c r="F16" s="1">
        <v>400</v>
      </c>
      <c r="G16" s="1">
        <v>400</v>
      </c>
      <c r="H16" s="1">
        <v>400</v>
      </c>
      <c r="I16" s="1">
        <v>400</v>
      </c>
      <c r="J16" s="1">
        <v>400</v>
      </c>
      <c r="K16" s="1">
        <v>400</v>
      </c>
      <c r="L16" s="1">
        <v>400</v>
      </c>
      <c r="M16" s="1">
        <v>400</v>
      </c>
      <c r="N16" s="1">
        <v>400</v>
      </c>
    </row>
    <row r="17" spans="2:14" x14ac:dyDescent="0.25">
      <c r="B17" t="s">
        <v>17</v>
      </c>
      <c r="C17" s="1">
        <v>400</v>
      </c>
      <c r="D17" s="1">
        <v>400</v>
      </c>
      <c r="E17" s="1">
        <v>400</v>
      </c>
      <c r="F17" s="1">
        <v>400</v>
      </c>
      <c r="G17" s="1">
        <v>400</v>
      </c>
      <c r="H17" s="1">
        <v>400</v>
      </c>
      <c r="I17" s="1">
        <v>400</v>
      </c>
      <c r="J17" s="1">
        <v>400</v>
      </c>
      <c r="K17" s="1">
        <v>400</v>
      </c>
      <c r="L17" s="1">
        <v>400</v>
      </c>
      <c r="M17" s="1">
        <v>400</v>
      </c>
      <c r="N17" s="1">
        <v>400</v>
      </c>
    </row>
    <row r="18" spans="2:14" x14ac:dyDescent="0.25">
      <c r="B18" t="s">
        <v>18</v>
      </c>
      <c r="C18" s="1">
        <v>420</v>
      </c>
      <c r="D18" s="1">
        <v>400</v>
      </c>
      <c r="E18" s="1">
        <v>400</v>
      </c>
      <c r="F18" s="1">
        <v>400</v>
      </c>
      <c r="G18" s="1">
        <v>400</v>
      </c>
      <c r="H18" s="1">
        <v>400</v>
      </c>
      <c r="I18" s="1">
        <v>400</v>
      </c>
      <c r="J18" s="1">
        <v>400</v>
      </c>
      <c r="K18" s="1">
        <v>400</v>
      </c>
      <c r="L18" s="1">
        <v>400</v>
      </c>
      <c r="M18" s="1">
        <v>400</v>
      </c>
      <c r="N18" s="1">
        <v>400</v>
      </c>
    </row>
    <row r="19" spans="2:14" x14ac:dyDescent="0.25">
      <c r="B19" t="s">
        <v>40</v>
      </c>
      <c r="C19" s="1">
        <f>C18*46</f>
        <v>19320</v>
      </c>
      <c r="D19" s="1">
        <f>D18*46</f>
        <v>18400</v>
      </c>
      <c r="E19" s="1">
        <f t="shared" ref="E19:N19" si="3">E18*46</f>
        <v>18400</v>
      </c>
      <c r="F19" s="1">
        <f t="shared" si="3"/>
        <v>18400</v>
      </c>
      <c r="G19" s="1">
        <f t="shared" si="3"/>
        <v>18400</v>
      </c>
      <c r="H19" s="1">
        <f t="shared" si="3"/>
        <v>18400</v>
      </c>
      <c r="I19" s="1">
        <f t="shared" si="3"/>
        <v>18400</v>
      </c>
      <c r="J19" s="1">
        <f t="shared" si="3"/>
        <v>18400</v>
      </c>
      <c r="K19" s="1">
        <f t="shared" si="3"/>
        <v>18400</v>
      </c>
      <c r="L19" s="1">
        <f t="shared" si="3"/>
        <v>18400</v>
      </c>
      <c r="M19" s="1">
        <f t="shared" si="3"/>
        <v>18400</v>
      </c>
      <c r="N19" s="1">
        <f t="shared" si="3"/>
        <v>18400</v>
      </c>
    </row>
    <row r="20" spans="2:14" x14ac:dyDescent="0.25">
      <c r="B20" t="s">
        <v>20</v>
      </c>
      <c r="C20" s="1">
        <f>C19*0.21</f>
        <v>4057.2</v>
      </c>
      <c r="D20" s="1">
        <f>D19*0.21</f>
        <v>3864</v>
      </c>
      <c r="E20" s="1">
        <f t="shared" ref="E20:N20" si="4">E19*0.21</f>
        <v>3864</v>
      </c>
      <c r="F20" s="1">
        <f t="shared" si="4"/>
        <v>3864</v>
      </c>
      <c r="G20" s="1">
        <f t="shared" si="4"/>
        <v>3864</v>
      </c>
      <c r="H20" s="1">
        <f t="shared" si="4"/>
        <v>3864</v>
      </c>
      <c r="I20" s="1">
        <f t="shared" si="4"/>
        <v>3864</v>
      </c>
      <c r="J20" s="1">
        <f t="shared" si="4"/>
        <v>3864</v>
      </c>
      <c r="K20" s="1">
        <f t="shared" si="4"/>
        <v>3864</v>
      </c>
      <c r="L20" s="1">
        <f t="shared" si="4"/>
        <v>3864</v>
      </c>
      <c r="M20" s="1">
        <f t="shared" si="4"/>
        <v>3864</v>
      </c>
      <c r="N20" s="1">
        <f t="shared" si="4"/>
        <v>3864</v>
      </c>
    </row>
    <row r="21" spans="2:14" x14ac:dyDescent="0.25">
      <c r="B21" t="s">
        <v>21</v>
      </c>
      <c r="C21" s="1">
        <f>C19+C20</f>
        <v>23377.200000000001</v>
      </c>
      <c r="D21" s="1">
        <f>D19+D20</f>
        <v>22264</v>
      </c>
      <c r="E21" s="1">
        <f t="shared" ref="E21:N21" si="5">E19+E20</f>
        <v>22264</v>
      </c>
      <c r="F21" s="1">
        <f t="shared" si="5"/>
        <v>22264</v>
      </c>
      <c r="G21" s="1">
        <f t="shared" si="5"/>
        <v>22264</v>
      </c>
      <c r="H21" s="1">
        <f t="shared" si="5"/>
        <v>22264</v>
      </c>
      <c r="I21" s="1">
        <f t="shared" si="5"/>
        <v>22264</v>
      </c>
      <c r="J21" s="1">
        <f t="shared" si="5"/>
        <v>22264</v>
      </c>
      <c r="K21" s="1">
        <f t="shared" si="5"/>
        <v>22264</v>
      </c>
      <c r="L21" s="1">
        <f t="shared" si="5"/>
        <v>22264</v>
      </c>
      <c r="M21" s="1">
        <f t="shared" si="5"/>
        <v>22264</v>
      </c>
      <c r="N21" s="1">
        <f t="shared" si="5"/>
        <v>22264</v>
      </c>
    </row>
    <row r="22" spans="2:14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25"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25">
      <c r="B24" t="s">
        <v>14</v>
      </c>
      <c r="C24" s="1">
        <v>480</v>
      </c>
      <c r="D24" s="1">
        <v>480</v>
      </c>
      <c r="E24" s="1">
        <v>480</v>
      </c>
      <c r="F24" s="1">
        <v>480</v>
      </c>
      <c r="G24" s="1">
        <v>480</v>
      </c>
      <c r="H24" s="1">
        <v>480</v>
      </c>
      <c r="I24" s="1">
        <v>480</v>
      </c>
      <c r="J24" s="1">
        <v>480</v>
      </c>
      <c r="K24" s="1">
        <v>480</v>
      </c>
      <c r="L24" s="1">
        <v>480</v>
      </c>
      <c r="M24" s="1">
        <v>480</v>
      </c>
      <c r="N24" s="1">
        <v>480</v>
      </c>
    </row>
    <row r="25" spans="2:14" x14ac:dyDescent="0.25">
      <c r="B25" t="s">
        <v>16</v>
      </c>
      <c r="C25" s="1">
        <v>420</v>
      </c>
      <c r="D25" s="1">
        <v>480</v>
      </c>
      <c r="E25" s="1">
        <v>480</v>
      </c>
      <c r="F25" s="1">
        <v>480</v>
      </c>
      <c r="G25" s="1">
        <v>480</v>
      </c>
      <c r="H25" s="1">
        <v>480</v>
      </c>
      <c r="I25" s="1">
        <v>480</v>
      </c>
      <c r="J25" s="1">
        <v>480</v>
      </c>
      <c r="K25" s="1">
        <v>480</v>
      </c>
      <c r="L25" s="1">
        <v>480</v>
      </c>
      <c r="M25" s="1">
        <v>480</v>
      </c>
      <c r="N25" s="1">
        <v>480</v>
      </c>
    </row>
    <row r="26" spans="2:14" x14ac:dyDescent="0.25">
      <c r="B26" t="s">
        <v>17</v>
      </c>
      <c r="C26" s="1">
        <v>480</v>
      </c>
      <c r="D26" s="1">
        <v>480</v>
      </c>
      <c r="E26" s="1">
        <v>480</v>
      </c>
      <c r="F26" s="1">
        <v>480</v>
      </c>
      <c r="G26" s="1">
        <v>480</v>
      </c>
      <c r="H26" s="1">
        <v>480</v>
      </c>
      <c r="I26" s="1">
        <v>480</v>
      </c>
      <c r="J26" s="1">
        <v>480</v>
      </c>
      <c r="K26" s="1">
        <v>480</v>
      </c>
      <c r="L26" s="1">
        <v>480</v>
      </c>
      <c r="M26" s="1">
        <v>480</v>
      </c>
      <c r="N26" s="1">
        <v>480</v>
      </c>
    </row>
    <row r="27" spans="2:14" x14ac:dyDescent="0.25">
      <c r="B27" t="s">
        <v>18</v>
      </c>
      <c r="C27" s="1">
        <v>540</v>
      </c>
      <c r="D27" s="1">
        <v>480</v>
      </c>
      <c r="E27" s="1">
        <v>480</v>
      </c>
      <c r="F27" s="1">
        <v>480</v>
      </c>
      <c r="G27" s="1">
        <v>480</v>
      </c>
      <c r="H27" s="1">
        <v>480</v>
      </c>
      <c r="I27" s="1">
        <v>480</v>
      </c>
      <c r="J27" s="1">
        <v>480</v>
      </c>
      <c r="K27" s="1">
        <v>480</v>
      </c>
      <c r="L27" s="1">
        <v>480</v>
      </c>
      <c r="M27" s="1">
        <v>480</v>
      </c>
      <c r="N27" s="1">
        <v>480</v>
      </c>
    </row>
    <row r="28" spans="2:14" x14ac:dyDescent="0.25">
      <c r="B28" t="s">
        <v>42</v>
      </c>
      <c r="C28" s="1">
        <f>C27*36</f>
        <v>19440</v>
      </c>
      <c r="D28" s="1">
        <f>D27*36</f>
        <v>17280</v>
      </c>
      <c r="E28" s="1">
        <f t="shared" ref="E28:N28" si="6">E27*36</f>
        <v>17280</v>
      </c>
      <c r="F28" s="1">
        <f t="shared" si="6"/>
        <v>17280</v>
      </c>
      <c r="G28" s="1">
        <f t="shared" si="6"/>
        <v>17280</v>
      </c>
      <c r="H28" s="1">
        <f t="shared" si="6"/>
        <v>17280</v>
      </c>
      <c r="I28" s="1">
        <f t="shared" si="6"/>
        <v>17280</v>
      </c>
      <c r="J28" s="1">
        <f t="shared" si="6"/>
        <v>17280</v>
      </c>
      <c r="K28" s="1">
        <f t="shared" si="6"/>
        <v>17280</v>
      </c>
      <c r="L28" s="1">
        <f t="shared" si="6"/>
        <v>17280</v>
      </c>
      <c r="M28" s="1">
        <f t="shared" si="6"/>
        <v>17280</v>
      </c>
      <c r="N28" s="1">
        <f t="shared" si="6"/>
        <v>17280</v>
      </c>
    </row>
    <row r="29" spans="2:14" x14ac:dyDescent="0.25">
      <c r="B29" t="s">
        <v>20</v>
      </c>
      <c r="C29" s="1">
        <f>C28*0.21</f>
        <v>4082.3999999999996</v>
      </c>
      <c r="D29" s="1">
        <f>D28*0.21</f>
        <v>3628.7999999999997</v>
      </c>
      <c r="E29" s="1">
        <f t="shared" ref="E29:N29" si="7">E28*0.21</f>
        <v>3628.7999999999997</v>
      </c>
      <c r="F29" s="1">
        <f t="shared" si="7"/>
        <v>3628.7999999999997</v>
      </c>
      <c r="G29" s="1">
        <f t="shared" si="7"/>
        <v>3628.7999999999997</v>
      </c>
      <c r="H29" s="1">
        <f t="shared" si="7"/>
        <v>3628.7999999999997</v>
      </c>
      <c r="I29" s="1">
        <f t="shared" si="7"/>
        <v>3628.7999999999997</v>
      </c>
      <c r="J29" s="1">
        <f t="shared" si="7"/>
        <v>3628.7999999999997</v>
      </c>
      <c r="K29" s="1">
        <f t="shared" si="7"/>
        <v>3628.7999999999997</v>
      </c>
      <c r="L29" s="1">
        <f t="shared" si="7"/>
        <v>3628.7999999999997</v>
      </c>
      <c r="M29" s="1">
        <f t="shared" si="7"/>
        <v>3628.7999999999997</v>
      </c>
      <c r="N29" s="1">
        <f t="shared" si="7"/>
        <v>3628.7999999999997</v>
      </c>
    </row>
    <row r="30" spans="2:14" x14ac:dyDescent="0.25">
      <c r="B30" t="s">
        <v>21</v>
      </c>
      <c r="C30" s="1">
        <f>C28+C29</f>
        <v>23522.400000000001</v>
      </c>
      <c r="D30" s="1">
        <f>D28+D29</f>
        <v>20908.8</v>
      </c>
      <c r="E30" s="1">
        <f t="shared" ref="E30:N30" si="8">E28+E29</f>
        <v>20908.8</v>
      </c>
      <c r="F30" s="1">
        <f t="shared" si="8"/>
        <v>20908.8</v>
      </c>
      <c r="G30" s="1">
        <f t="shared" si="8"/>
        <v>20908.8</v>
      </c>
      <c r="H30" s="1">
        <f t="shared" si="8"/>
        <v>20908.8</v>
      </c>
      <c r="I30" s="1">
        <f t="shared" si="8"/>
        <v>20908.8</v>
      </c>
      <c r="J30" s="1">
        <f t="shared" si="8"/>
        <v>20908.8</v>
      </c>
      <c r="K30" s="1">
        <f t="shared" si="8"/>
        <v>20908.8</v>
      </c>
      <c r="L30" s="1">
        <f t="shared" si="8"/>
        <v>20908.8</v>
      </c>
      <c r="M30" s="1">
        <f t="shared" si="8"/>
        <v>20908.8</v>
      </c>
      <c r="N30" s="1">
        <f t="shared" si="8"/>
        <v>20908.8</v>
      </c>
    </row>
    <row r="31" spans="2:14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25">
      <c r="C32" s="1"/>
      <c r="D32" s="1" t="s">
        <v>43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t="s">
        <v>14</v>
      </c>
      <c r="C33" s="1">
        <v>310</v>
      </c>
      <c r="D33" s="1">
        <v>310</v>
      </c>
      <c r="E33" s="1">
        <v>310</v>
      </c>
      <c r="F33" s="1">
        <v>310</v>
      </c>
      <c r="G33" s="1">
        <v>310</v>
      </c>
      <c r="H33" s="1">
        <v>310</v>
      </c>
      <c r="I33" s="1">
        <v>310</v>
      </c>
      <c r="J33" s="1">
        <v>310</v>
      </c>
      <c r="K33" s="1">
        <v>310</v>
      </c>
      <c r="L33" s="1">
        <v>310</v>
      </c>
      <c r="M33" s="1">
        <v>310</v>
      </c>
      <c r="N33" s="1">
        <v>310</v>
      </c>
    </row>
    <row r="34" spans="2:14" x14ac:dyDescent="0.25">
      <c r="B34" t="s">
        <v>16</v>
      </c>
      <c r="C34" s="1">
        <v>290</v>
      </c>
      <c r="D34" s="1">
        <v>310</v>
      </c>
      <c r="E34" s="1">
        <v>310</v>
      </c>
      <c r="F34" s="1">
        <v>310</v>
      </c>
      <c r="G34" s="1">
        <v>310</v>
      </c>
      <c r="H34" s="1">
        <v>310</v>
      </c>
      <c r="I34" s="1">
        <v>310</v>
      </c>
      <c r="J34" s="1">
        <v>310</v>
      </c>
      <c r="K34" s="1">
        <v>310</v>
      </c>
      <c r="L34" s="1">
        <v>310</v>
      </c>
      <c r="M34" s="1">
        <v>310</v>
      </c>
      <c r="N34" s="1">
        <v>310</v>
      </c>
    </row>
    <row r="35" spans="2:14" x14ac:dyDescent="0.25">
      <c r="B35" t="s">
        <v>17</v>
      </c>
      <c r="C35" s="1">
        <v>310</v>
      </c>
      <c r="D35" s="1">
        <v>310</v>
      </c>
      <c r="E35" s="1">
        <v>310</v>
      </c>
      <c r="F35" s="1">
        <v>310</v>
      </c>
      <c r="G35" s="1">
        <v>310</v>
      </c>
      <c r="H35" s="1">
        <v>310</v>
      </c>
      <c r="I35" s="1">
        <v>310</v>
      </c>
      <c r="J35" s="1">
        <v>310</v>
      </c>
      <c r="K35" s="1">
        <v>310</v>
      </c>
      <c r="L35" s="1">
        <v>310</v>
      </c>
      <c r="M35" s="1">
        <v>310</v>
      </c>
      <c r="N35" s="1">
        <v>310</v>
      </c>
    </row>
    <row r="36" spans="2:14" x14ac:dyDescent="0.25">
      <c r="B36" t="s">
        <v>18</v>
      </c>
      <c r="C36" s="1">
        <f>C33-C34+C35</f>
        <v>330</v>
      </c>
      <c r="D36" s="1">
        <v>310</v>
      </c>
      <c r="E36" s="1">
        <v>310</v>
      </c>
      <c r="F36" s="1">
        <v>310</v>
      </c>
      <c r="G36" s="1">
        <v>310</v>
      </c>
      <c r="H36" s="1">
        <v>310</v>
      </c>
      <c r="I36" s="1">
        <v>310</v>
      </c>
      <c r="J36" s="1">
        <v>310</v>
      </c>
      <c r="K36" s="1">
        <v>310</v>
      </c>
      <c r="L36" s="1">
        <v>310</v>
      </c>
      <c r="M36" s="1">
        <v>310</v>
      </c>
      <c r="N36" s="1">
        <v>310</v>
      </c>
    </row>
    <row r="37" spans="2:14" x14ac:dyDescent="0.25">
      <c r="B37" t="s">
        <v>44</v>
      </c>
      <c r="C37" s="1">
        <f>C36*50</f>
        <v>16500</v>
      </c>
      <c r="D37" s="1">
        <f>D36*50</f>
        <v>15500</v>
      </c>
      <c r="E37" s="1">
        <f t="shared" ref="E37:N37" si="9">E36*50</f>
        <v>15500</v>
      </c>
      <c r="F37" s="1">
        <f t="shared" si="9"/>
        <v>15500</v>
      </c>
      <c r="G37" s="1">
        <f t="shared" si="9"/>
        <v>15500</v>
      </c>
      <c r="H37" s="1">
        <f t="shared" si="9"/>
        <v>15500</v>
      </c>
      <c r="I37" s="1">
        <f t="shared" si="9"/>
        <v>15500</v>
      </c>
      <c r="J37" s="1">
        <f t="shared" si="9"/>
        <v>15500</v>
      </c>
      <c r="K37" s="1">
        <f t="shared" si="9"/>
        <v>15500</v>
      </c>
      <c r="L37" s="1">
        <f t="shared" si="9"/>
        <v>15500</v>
      </c>
      <c r="M37" s="1">
        <f t="shared" si="9"/>
        <v>15500</v>
      </c>
      <c r="N37" s="1">
        <f t="shared" si="9"/>
        <v>15500</v>
      </c>
    </row>
    <row r="38" spans="2:14" x14ac:dyDescent="0.25">
      <c r="B38" t="s">
        <v>20</v>
      </c>
      <c r="C38" s="1">
        <f>C37*0.21</f>
        <v>3465</v>
      </c>
      <c r="D38" s="1">
        <f>D37*0.21</f>
        <v>3255</v>
      </c>
      <c r="E38" s="1">
        <f t="shared" ref="E38:N38" si="10">E37*0.21</f>
        <v>3255</v>
      </c>
      <c r="F38" s="1">
        <f t="shared" si="10"/>
        <v>3255</v>
      </c>
      <c r="G38" s="1">
        <f t="shared" si="10"/>
        <v>3255</v>
      </c>
      <c r="H38" s="1">
        <f t="shared" si="10"/>
        <v>3255</v>
      </c>
      <c r="I38" s="1">
        <f t="shared" si="10"/>
        <v>3255</v>
      </c>
      <c r="J38" s="1">
        <f t="shared" si="10"/>
        <v>3255</v>
      </c>
      <c r="K38" s="1">
        <f t="shared" si="10"/>
        <v>3255</v>
      </c>
      <c r="L38" s="1">
        <f t="shared" si="10"/>
        <v>3255</v>
      </c>
      <c r="M38" s="1">
        <f t="shared" si="10"/>
        <v>3255</v>
      </c>
      <c r="N38" s="1">
        <f t="shared" si="10"/>
        <v>3255</v>
      </c>
    </row>
    <row r="39" spans="2:14" x14ac:dyDescent="0.25">
      <c r="B39" t="s">
        <v>21</v>
      </c>
      <c r="C39" s="1">
        <f>C37+C38</f>
        <v>19965</v>
      </c>
      <c r="D39" s="1">
        <f>D37+D38</f>
        <v>18755</v>
      </c>
      <c r="E39" s="1">
        <f t="shared" ref="E39:N39" si="11">E37+E38</f>
        <v>18755</v>
      </c>
      <c r="F39" s="1">
        <f t="shared" si="11"/>
        <v>18755</v>
      </c>
      <c r="G39" s="1">
        <f t="shared" si="11"/>
        <v>18755</v>
      </c>
      <c r="H39" s="1">
        <f t="shared" si="11"/>
        <v>18755</v>
      </c>
      <c r="I39" s="1">
        <f t="shared" si="11"/>
        <v>18755</v>
      </c>
      <c r="J39" s="1">
        <f t="shared" si="11"/>
        <v>18755</v>
      </c>
      <c r="K39" s="1">
        <f t="shared" si="11"/>
        <v>18755</v>
      </c>
      <c r="L39" s="1">
        <f t="shared" si="11"/>
        <v>18755</v>
      </c>
      <c r="M39" s="1">
        <f>M37+M38</f>
        <v>18755</v>
      </c>
      <c r="N39" s="1">
        <f t="shared" si="11"/>
        <v>18755</v>
      </c>
    </row>
    <row r="40" spans="2:14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C41" s="1">
        <f>1680*14/12</f>
        <v>1960</v>
      </c>
      <c r="D41" s="1">
        <f>C41*12</f>
        <v>23520</v>
      </c>
      <c r="E41" s="1"/>
      <c r="F41" s="1"/>
      <c r="G41" s="1" t="s">
        <v>28</v>
      </c>
      <c r="H41" s="1"/>
      <c r="I41" s="1"/>
      <c r="J41" s="1" t="s">
        <v>33</v>
      </c>
      <c r="K41" s="1" t="s">
        <v>34</v>
      </c>
      <c r="L41" s="1"/>
      <c r="M41" s="1" t="s">
        <v>35</v>
      </c>
      <c r="N41" s="1"/>
    </row>
    <row r="42" spans="2:14" x14ac:dyDescent="0.25">
      <c r="C42" s="1">
        <f>C41*3</f>
        <v>5880</v>
      </c>
      <c r="D42" s="1"/>
      <c r="E42" s="1"/>
      <c r="F42" s="1" t="s">
        <v>29</v>
      </c>
      <c r="G42" s="1">
        <v>400</v>
      </c>
      <c r="H42" s="1">
        <v>400</v>
      </c>
      <c r="I42" s="1"/>
      <c r="J42" s="1">
        <v>480</v>
      </c>
      <c r="K42" s="1">
        <v>480</v>
      </c>
      <c r="L42" s="1"/>
      <c r="M42" s="1">
        <v>310</v>
      </c>
      <c r="N42" s="1">
        <v>310</v>
      </c>
    </row>
    <row r="43" spans="2:14" x14ac:dyDescent="0.25">
      <c r="C43" s="1">
        <f>C42*0.3387</f>
        <v>1991.556</v>
      </c>
      <c r="D43" s="1"/>
      <c r="E43" s="1"/>
      <c r="F43" s="1" t="s">
        <v>31</v>
      </c>
      <c r="G43" s="1">
        <v>380</v>
      </c>
      <c r="H43" s="1">
        <v>400</v>
      </c>
      <c r="I43" s="1"/>
      <c r="J43" s="1">
        <v>420</v>
      </c>
      <c r="K43" s="1">
        <v>480</v>
      </c>
      <c r="L43" s="1"/>
      <c r="M43" s="1">
        <v>290</v>
      </c>
      <c r="N43" s="1">
        <v>310</v>
      </c>
    </row>
    <row r="44" spans="2:14" x14ac:dyDescent="0.25">
      <c r="C44" s="2">
        <f>SUM(C42:C43)</f>
        <v>7871.5560000000005</v>
      </c>
      <c r="D44" s="1"/>
      <c r="E44" s="1"/>
      <c r="F44" s="1" t="s">
        <v>30</v>
      </c>
      <c r="G44" s="1">
        <v>400</v>
      </c>
      <c r="H44" s="1">
        <v>400</v>
      </c>
      <c r="I44" s="1"/>
      <c r="J44" s="1">
        <v>480</v>
      </c>
      <c r="K44" s="1">
        <v>480</v>
      </c>
      <c r="L44" s="1"/>
      <c r="M44" s="1">
        <v>310</v>
      </c>
      <c r="N44" s="1">
        <v>310</v>
      </c>
    </row>
    <row r="45" spans="2:14" x14ac:dyDescent="0.25">
      <c r="C45" s="1">
        <f>C44/1840</f>
        <v>4.2780195652173916</v>
      </c>
      <c r="D45" s="1"/>
      <c r="E45" s="1"/>
      <c r="F45" s="1" t="s">
        <v>32</v>
      </c>
      <c r="G45" s="1">
        <f>G42-G43+G44</f>
        <v>420</v>
      </c>
      <c r="H45" s="1">
        <v>400</v>
      </c>
      <c r="I45" s="1"/>
      <c r="J45" s="1">
        <f>J42-J43+J44</f>
        <v>540</v>
      </c>
      <c r="K45" s="1">
        <v>480</v>
      </c>
      <c r="L45" s="1"/>
      <c r="M45" s="1">
        <f>M42-M43+M44</f>
        <v>330</v>
      </c>
      <c r="N45" s="1">
        <v>310</v>
      </c>
    </row>
    <row r="46" spans="2:14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t="s">
        <v>86</v>
      </c>
      <c r="C47" s="1">
        <f>C10+C19+C28+C37</f>
        <v>73410</v>
      </c>
      <c r="D47" s="1">
        <f>D10+D19+D28+D37</f>
        <v>67680</v>
      </c>
      <c r="E47" s="1">
        <f t="shared" ref="E47:N47" si="12">E10+E19+E28+E37</f>
        <v>67680</v>
      </c>
      <c r="F47" s="1">
        <f t="shared" si="12"/>
        <v>67680</v>
      </c>
      <c r="G47" s="1">
        <f t="shared" si="12"/>
        <v>67680</v>
      </c>
      <c r="H47" s="1">
        <f t="shared" si="12"/>
        <v>67680</v>
      </c>
      <c r="I47" s="1">
        <f t="shared" si="12"/>
        <v>67680</v>
      </c>
      <c r="J47" s="1">
        <f t="shared" si="12"/>
        <v>67680</v>
      </c>
      <c r="K47" s="1">
        <f t="shared" si="12"/>
        <v>67680</v>
      </c>
      <c r="L47" s="1">
        <f t="shared" si="12"/>
        <v>67680</v>
      </c>
      <c r="M47" s="1">
        <f t="shared" si="12"/>
        <v>67680</v>
      </c>
      <c r="N47" s="1">
        <f t="shared" si="12"/>
        <v>67680</v>
      </c>
    </row>
    <row r="48" spans="2:14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5" x14ac:dyDescent="0.25">
      <c r="C49" s="1"/>
      <c r="D49" s="1"/>
      <c r="E49" s="1"/>
      <c r="F49" s="1"/>
      <c r="G49" s="1"/>
      <c r="H49" s="3"/>
    </row>
    <row r="50" spans="1:15" x14ac:dyDescent="0.25">
      <c r="C50" s="1"/>
      <c r="D50" s="1"/>
      <c r="E50" s="1"/>
      <c r="F50" s="1"/>
      <c r="G50" s="1"/>
      <c r="I50" s="4"/>
    </row>
    <row r="51" spans="1:15" x14ac:dyDescent="0.25">
      <c r="C51" s="1"/>
      <c r="D51" s="1"/>
      <c r="E51" s="1"/>
      <c r="F51" s="1"/>
      <c r="G51" s="1"/>
      <c r="N51" s="5"/>
    </row>
    <row r="52" spans="1:15" x14ac:dyDescent="0.25">
      <c r="C52" s="1"/>
      <c r="D52" s="1" t="s">
        <v>62</v>
      </c>
      <c r="E52" s="1"/>
      <c r="F52" s="1"/>
      <c r="G52" s="1"/>
      <c r="N52" s="1"/>
      <c r="O52" s="4">
        <f>N52/1840</f>
        <v>0</v>
      </c>
    </row>
    <row r="53" spans="1:15" x14ac:dyDescent="0.25">
      <c r="C53" s="1" t="s">
        <v>51</v>
      </c>
      <c r="D53" s="1" t="s">
        <v>52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67</v>
      </c>
      <c r="J53" s="1" t="s">
        <v>63</v>
      </c>
      <c r="K53" s="1" t="s">
        <v>64</v>
      </c>
      <c r="L53" s="1" t="s">
        <v>65</v>
      </c>
      <c r="M53" s="1" t="s">
        <v>66</v>
      </c>
      <c r="N53" s="1" t="s">
        <v>68</v>
      </c>
      <c r="O53" s="4"/>
    </row>
    <row r="54" spans="1:15" x14ac:dyDescent="0.25">
      <c r="A54" t="s">
        <v>15</v>
      </c>
      <c r="B54" t="s">
        <v>69</v>
      </c>
      <c r="C54" s="1">
        <v>500</v>
      </c>
      <c r="D54" s="1">
        <v>500</v>
      </c>
      <c r="E54" s="1">
        <v>500</v>
      </c>
      <c r="F54" s="1">
        <v>500</v>
      </c>
      <c r="G54" s="1">
        <v>500</v>
      </c>
      <c r="H54" s="1">
        <v>500</v>
      </c>
      <c r="I54" s="1">
        <v>500</v>
      </c>
      <c r="J54" s="1">
        <v>500</v>
      </c>
      <c r="K54" s="1">
        <v>500</v>
      </c>
      <c r="L54" s="1">
        <v>500</v>
      </c>
      <c r="M54" s="1">
        <v>500</v>
      </c>
      <c r="N54" s="1">
        <v>500</v>
      </c>
    </row>
    <row r="55" spans="1:15" x14ac:dyDescent="0.25">
      <c r="A55" t="s">
        <v>71</v>
      </c>
      <c r="B55" t="s">
        <v>70</v>
      </c>
      <c r="C55" s="1">
        <f>C54*58.52</f>
        <v>29260</v>
      </c>
      <c r="D55" s="1">
        <f t="shared" ref="D55:N55" si="13">D54*58.52</f>
        <v>29260</v>
      </c>
      <c r="E55" s="1">
        <f t="shared" si="13"/>
        <v>29260</v>
      </c>
      <c r="F55" s="1">
        <f t="shared" si="13"/>
        <v>29260</v>
      </c>
      <c r="G55" s="1">
        <f t="shared" si="13"/>
        <v>29260</v>
      </c>
      <c r="H55" s="1">
        <f t="shared" si="13"/>
        <v>29260</v>
      </c>
      <c r="I55" s="1">
        <f t="shared" si="13"/>
        <v>29260</v>
      </c>
      <c r="J55" s="1">
        <f t="shared" si="13"/>
        <v>29260</v>
      </c>
      <c r="K55" s="1">
        <f t="shared" si="13"/>
        <v>29260</v>
      </c>
      <c r="L55" s="1">
        <f t="shared" si="13"/>
        <v>29260</v>
      </c>
      <c r="M55" s="1">
        <f t="shared" si="13"/>
        <v>29260</v>
      </c>
      <c r="N55" s="1">
        <f t="shared" si="13"/>
        <v>29260</v>
      </c>
    </row>
    <row r="56" spans="1:15" x14ac:dyDescent="0.25">
      <c r="A56" t="s">
        <v>72</v>
      </c>
      <c r="B56" t="s">
        <v>69</v>
      </c>
      <c r="C56" s="1">
        <f>C15</f>
        <v>400</v>
      </c>
      <c r="D56" s="1">
        <f t="shared" ref="D56:N56" si="14">D15</f>
        <v>400</v>
      </c>
      <c r="E56" s="1">
        <f t="shared" si="14"/>
        <v>400</v>
      </c>
      <c r="F56" s="1">
        <f t="shared" si="14"/>
        <v>400</v>
      </c>
      <c r="G56" s="1">
        <f t="shared" si="14"/>
        <v>400</v>
      </c>
      <c r="H56" s="1">
        <f t="shared" si="14"/>
        <v>400</v>
      </c>
      <c r="I56" s="1">
        <f t="shared" si="14"/>
        <v>400</v>
      </c>
      <c r="J56" s="1">
        <f t="shared" si="14"/>
        <v>400</v>
      </c>
      <c r="K56" s="1">
        <f t="shared" si="14"/>
        <v>400</v>
      </c>
      <c r="L56" s="1">
        <f t="shared" si="14"/>
        <v>400</v>
      </c>
      <c r="M56" s="1">
        <f t="shared" si="14"/>
        <v>400</v>
      </c>
      <c r="N56" s="1">
        <f t="shared" si="14"/>
        <v>400</v>
      </c>
    </row>
    <row r="57" spans="1:15" x14ac:dyDescent="0.25">
      <c r="B57" t="s">
        <v>70</v>
      </c>
      <c r="C57" s="1">
        <f>C56*78.02</f>
        <v>31208</v>
      </c>
      <c r="D57" s="1">
        <f t="shared" ref="D57:N57" si="15">D56*78.02</f>
        <v>31208</v>
      </c>
      <c r="E57" s="1">
        <f t="shared" si="15"/>
        <v>31208</v>
      </c>
      <c r="F57" s="1">
        <f t="shared" si="15"/>
        <v>31208</v>
      </c>
      <c r="G57" s="1">
        <f t="shared" si="15"/>
        <v>31208</v>
      </c>
      <c r="H57" s="1">
        <f t="shared" si="15"/>
        <v>31208</v>
      </c>
      <c r="I57" s="1">
        <f t="shared" si="15"/>
        <v>31208</v>
      </c>
      <c r="J57" s="1">
        <f t="shared" si="15"/>
        <v>31208</v>
      </c>
      <c r="K57" s="1">
        <f t="shared" si="15"/>
        <v>31208</v>
      </c>
      <c r="L57" s="1">
        <f t="shared" si="15"/>
        <v>31208</v>
      </c>
      <c r="M57" s="1">
        <f t="shared" si="15"/>
        <v>31208</v>
      </c>
      <c r="N57" s="1">
        <f t="shared" si="15"/>
        <v>31208</v>
      </c>
    </row>
    <row r="58" spans="1:15" x14ac:dyDescent="0.25">
      <c r="A58" t="s">
        <v>73</v>
      </c>
      <c r="B58" t="s">
        <v>69</v>
      </c>
      <c r="C58" s="1">
        <f>C24</f>
        <v>480</v>
      </c>
      <c r="D58" s="1">
        <f t="shared" ref="D58:N58" si="16">D24</f>
        <v>480</v>
      </c>
      <c r="E58" s="1">
        <f t="shared" si="16"/>
        <v>480</v>
      </c>
      <c r="F58" s="1">
        <f t="shared" si="16"/>
        <v>480</v>
      </c>
      <c r="G58" s="1">
        <f t="shared" si="16"/>
        <v>480</v>
      </c>
      <c r="H58" s="1">
        <f t="shared" si="16"/>
        <v>480</v>
      </c>
      <c r="I58" s="1">
        <f t="shared" si="16"/>
        <v>480</v>
      </c>
      <c r="J58" s="1">
        <f t="shared" si="16"/>
        <v>480</v>
      </c>
      <c r="K58" s="1">
        <f t="shared" si="16"/>
        <v>480</v>
      </c>
      <c r="L58" s="1">
        <f t="shared" si="16"/>
        <v>480</v>
      </c>
      <c r="M58" s="1">
        <f t="shared" si="16"/>
        <v>480</v>
      </c>
      <c r="N58" s="1">
        <f t="shared" si="16"/>
        <v>480</v>
      </c>
    </row>
    <row r="59" spans="1:15" x14ac:dyDescent="0.25">
      <c r="B59" t="s">
        <v>70</v>
      </c>
      <c r="C59" s="1">
        <f>C58*63.02</f>
        <v>30249.600000000002</v>
      </c>
      <c r="D59" s="1">
        <f t="shared" ref="D59:N59" si="17">D58*63.02</f>
        <v>30249.600000000002</v>
      </c>
      <c r="E59" s="1">
        <f t="shared" si="17"/>
        <v>30249.600000000002</v>
      </c>
      <c r="F59" s="1">
        <f t="shared" si="17"/>
        <v>30249.600000000002</v>
      </c>
      <c r="G59" s="1">
        <f t="shared" si="17"/>
        <v>30249.600000000002</v>
      </c>
      <c r="H59" s="1">
        <f t="shared" si="17"/>
        <v>30249.600000000002</v>
      </c>
      <c r="I59" s="1">
        <f t="shared" si="17"/>
        <v>30249.600000000002</v>
      </c>
      <c r="J59" s="1">
        <f t="shared" si="17"/>
        <v>30249.600000000002</v>
      </c>
      <c r="K59" s="1">
        <f t="shared" si="17"/>
        <v>30249.600000000002</v>
      </c>
      <c r="L59" s="1">
        <f t="shared" si="17"/>
        <v>30249.600000000002</v>
      </c>
      <c r="M59" s="1">
        <f t="shared" si="17"/>
        <v>30249.600000000002</v>
      </c>
      <c r="N59" s="1">
        <f t="shared" si="17"/>
        <v>30249.600000000002</v>
      </c>
    </row>
    <row r="60" spans="1:15" x14ac:dyDescent="0.25">
      <c r="A60" t="s">
        <v>74</v>
      </c>
      <c r="B60" t="s">
        <v>69</v>
      </c>
      <c r="C60" s="1">
        <f>C33</f>
        <v>310</v>
      </c>
      <c r="D60" s="1">
        <f t="shared" ref="D60:N60" si="18">D33</f>
        <v>310</v>
      </c>
      <c r="E60" s="1">
        <f t="shared" si="18"/>
        <v>310</v>
      </c>
      <c r="F60" s="1">
        <f t="shared" si="18"/>
        <v>310</v>
      </c>
      <c r="G60" s="1">
        <f t="shared" si="18"/>
        <v>310</v>
      </c>
      <c r="H60" s="1">
        <f t="shared" si="18"/>
        <v>310</v>
      </c>
      <c r="I60" s="1">
        <f t="shared" si="18"/>
        <v>310</v>
      </c>
      <c r="J60" s="1">
        <f t="shared" si="18"/>
        <v>310</v>
      </c>
      <c r="K60" s="1">
        <f t="shared" si="18"/>
        <v>310</v>
      </c>
      <c r="L60" s="1">
        <f t="shared" si="18"/>
        <v>310</v>
      </c>
      <c r="M60" s="1">
        <f t="shared" si="18"/>
        <v>310</v>
      </c>
      <c r="N60" s="1">
        <f t="shared" si="18"/>
        <v>310</v>
      </c>
    </row>
    <row r="61" spans="1:15" x14ac:dyDescent="0.25">
      <c r="B61" t="s">
        <v>70</v>
      </c>
      <c r="C61" s="1">
        <f>C60*84.02</f>
        <v>26046.199999999997</v>
      </c>
      <c r="D61" s="1">
        <f t="shared" ref="D61:N61" si="19">D60*84.02</f>
        <v>26046.199999999997</v>
      </c>
      <c r="E61" s="1">
        <f t="shared" si="19"/>
        <v>26046.199999999997</v>
      </c>
      <c r="F61" s="1">
        <f t="shared" si="19"/>
        <v>26046.199999999997</v>
      </c>
      <c r="G61" s="1">
        <f t="shared" si="19"/>
        <v>26046.199999999997</v>
      </c>
      <c r="H61" s="1">
        <f t="shared" si="19"/>
        <v>26046.199999999997</v>
      </c>
      <c r="I61" s="1">
        <f t="shared" si="19"/>
        <v>26046.199999999997</v>
      </c>
      <c r="J61" s="1">
        <f t="shared" si="19"/>
        <v>26046.199999999997</v>
      </c>
      <c r="K61" s="1">
        <f t="shared" si="19"/>
        <v>26046.199999999997</v>
      </c>
      <c r="L61" s="1">
        <f t="shared" si="19"/>
        <v>26046.199999999997</v>
      </c>
      <c r="M61" s="1">
        <f t="shared" si="19"/>
        <v>26046.199999999997</v>
      </c>
      <c r="N61" s="1">
        <f t="shared" si="19"/>
        <v>26046.199999999997</v>
      </c>
    </row>
    <row r="62" spans="1:15" x14ac:dyDescent="0.25">
      <c r="C62" s="1"/>
      <c r="D62" s="1"/>
      <c r="E62" s="1"/>
      <c r="F62" s="1"/>
      <c r="G62" s="1"/>
      <c r="J62" s="1"/>
      <c r="L62" s="1"/>
    </row>
    <row r="63" spans="1:15" x14ac:dyDescent="0.25">
      <c r="B63" t="s">
        <v>75</v>
      </c>
      <c r="C63" s="1">
        <f>C55+C57+C59+C61</f>
        <v>116763.8</v>
      </c>
      <c r="D63" s="1">
        <f t="shared" ref="D63:N63" si="20">D55+D57+D59+D61</f>
        <v>116763.8</v>
      </c>
      <c r="E63" s="1">
        <f t="shared" si="20"/>
        <v>116763.8</v>
      </c>
      <c r="F63" s="1">
        <f t="shared" si="20"/>
        <v>116763.8</v>
      </c>
      <c r="G63" s="1">
        <f t="shared" si="20"/>
        <v>116763.8</v>
      </c>
      <c r="H63" s="1">
        <f t="shared" si="20"/>
        <v>116763.8</v>
      </c>
      <c r="I63" s="1">
        <f t="shared" si="20"/>
        <v>116763.8</v>
      </c>
      <c r="J63" s="1">
        <f t="shared" si="20"/>
        <v>116763.8</v>
      </c>
      <c r="K63" s="1">
        <f t="shared" si="20"/>
        <v>116763.8</v>
      </c>
      <c r="L63" s="1">
        <f t="shared" si="20"/>
        <v>116763.8</v>
      </c>
      <c r="M63" s="1">
        <f t="shared" si="20"/>
        <v>116763.8</v>
      </c>
      <c r="N63" s="1">
        <f t="shared" si="20"/>
        <v>116763.8</v>
      </c>
    </row>
    <row r="64" spans="1:15" x14ac:dyDescent="0.25">
      <c r="B64" t="s">
        <v>76</v>
      </c>
      <c r="C64" s="1">
        <f>C63*0.21</f>
        <v>24520.398000000001</v>
      </c>
      <c r="D64" s="1">
        <f t="shared" ref="D64:N64" si="21">D63*0.21</f>
        <v>24520.398000000001</v>
      </c>
      <c r="E64" s="1">
        <f t="shared" si="21"/>
        <v>24520.398000000001</v>
      </c>
      <c r="F64" s="1">
        <f t="shared" si="21"/>
        <v>24520.398000000001</v>
      </c>
      <c r="G64" s="1">
        <f t="shared" si="21"/>
        <v>24520.398000000001</v>
      </c>
      <c r="H64" s="1">
        <f t="shared" si="21"/>
        <v>24520.398000000001</v>
      </c>
      <c r="I64" s="1">
        <f t="shared" si="21"/>
        <v>24520.398000000001</v>
      </c>
      <c r="J64" s="1">
        <f t="shared" si="21"/>
        <v>24520.398000000001</v>
      </c>
      <c r="K64" s="1">
        <f t="shared" si="21"/>
        <v>24520.398000000001</v>
      </c>
      <c r="L64" s="1">
        <f t="shared" si="21"/>
        <v>24520.398000000001</v>
      </c>
      <c r="M64" s="1">
        <f t="shared" si="21"/>
        <v>24520.398000000001</v>
      </c>
      <c r="N64" s="1">
        <f t="shared" si="21"/>
        <v>24520.398000000001</v>
      </c>
    </row>
    <row r="65" spans="2:16" x14ac:dyDescent="0.25">
      <c r="B65" t="s">
        <v>77</v>
      </c>
      <c r="C65" s="1">
        <f>SUM(C63:C64)</f>
        <v>141284.198</v>
      </c>
      <c r="D65" s="1">
        <f t="shared" ref="D65:N65" si="22">D63+D64</f>
        <v>141284.198</v>
      </c>
      <c r="E65" s="1">
        <f t="shared" si="22"/>
        <v>141284.198</v>
      </c>
      <c r="F65" s="1">
        <f t="shared" si="22"/>
        <v>141284.198</v>
      </c>
      <c r="G65" s="1">
        <f t="shared" si="22"/>
        <v>141284.198</v>
      </c>
      <c r="H65" s="1">
        <f t="shared" si="22"/>
        <v>141284.198</v>
      </c>
      <c r="I65" s="1">
        <f t="shared" si="22"/>
        <v>141284.198</v>
      </c>
      <c r="J65" s="1">
        <f t="shared" si="22"/>
        <v>141284.198</v>
      </c>
      <c r="K65" s="1">
        <f t="shared" si="22"/>
        <v>141284.198</v>
      </c>
      <c r="L65" s="1">
        <f t="shared" si="22"/>
        <v>141284.198</v>
      </c>
      <c r="M65" s="1">
        <f t="shared" si="22"/>
        <v>141284.198</v>
      </c>
      <c r="N65" s="1">
        <f t="shared" si="22"/>
        <v>141284.198</v>
      </c>
      <c r="O65" s="4"/>
    </row>
    <row r="66" spans="2:16" x14ac:dyDescent="0.25">
      <c r="C66" s="1"/>
      <c r="D66" s="1"/>
      <c r="E66" s="1"/>
      <c r="F66" s="1"/>
      <c r="G66" s="1"/>
      <c r="J66" s="1"/>
      <c r="L66" s="1"/>
      <c r="O66" s="4"/>
      <c r="P66" s="4"/>
    </row>
    <row r="67" spans="2:16" x14ac:dyDescent="0.25">
      <c r="C67" s="1" t="s">
        <v>82</v>
      </c>
      <c r="D67" s="1"/>
      <c r="E67" s="1"/>
      <c r="F67" s="1"/>
      <c r="G67" s="1"/>
      <c r="J67" s="1"/>
      <c r="L67" s="1"/>
    </row>
    <row r="68" spans="2:16" x14ac:dyDescent="0.25">
      <c r="B68" s="6" t="s">
        <v>83</v>
      </c>
      <c r="C68" s="2">
        <f>C63</f>
        <v>116763.8</v>
      </c>
      <c r="D68" s="2">
        <f t="shared" ref="D68:N68" si="23">D63</f>
        <v>116763.8</v>
      </c>
      <c r="E68" s="2">
        <f t="shared" si="23"/>
        <v>116763.8</v>
      </c>
      <c r="F68" s="2">
        <f t="shared" si="23"/>
        <v>116763.8</v>
      </c>
      <c r="G68" s="2">
        <f t="shared" si="23"/>
        <v>116763.8</v>
      </c>
      <c r="H68" s="2">
        <f t="shared" si="23"/>
        <v>116763.8</v>
      </c>
      <c r="I68" s="2">
        <f t="shared" si="23"/>
        <v>116763.8</v>
      </c>
      <c r="J68" s="2">
        <f t="shared" si="23"/>
        <v>116763.8</v>
      </c>
      <c r="K68" s="2">
        <f t="shared" si="23"/>
        <v>116763.8</v>
      </c>
      <c r="L68" s="2">
        <f t="shared" si="23"/>
        <v>116763.8</v>
      </c>
      <c r="M68" s="2">
        <f t="shared" si="23"/>
        <v>116763.8</v>
      </c>
      <c r="N68" s="2">
        <f t="shared" si="23"/>
        <v>116763.8</v>
      </c>
    </row>
    <row r="69" spans="2:16" x14ac:dyDescent="0.25">
      <c r="C69" s="1"/>
      <c r="D69" s="1"/>
      <c r="E69" s="1"/>
      <c r="F69" s="1"/>
      <c r="G69" s="1"/>
      <c r="J69" s="1"/>
      <c r="L69" s="1"/>
    </row>
    <row r="70" spans="2:16" x14ac:dyDescent="0.25">
      <c r="B70" t="s">
        <v>84</v>
      </c>
      <c r="C70" s="1"/>
      <c r="D70" s="1"/>
      <c r="E70" s="1"/>
      <c r="F70" s="1"/>
      <c r="G70" s="1"/>
      <c r="J70" s="1"/>
      <c r="L70" s="1"/>
    </row>
    <row r="71" spans="2:16" x14ac:dyDescent="0.25">
      <c r="B71" t="s">
        <v>85</v>
      </c>
      <c r="C71" s="1">
        <f>C47</f>
        <v>73410</v>
      </c>
      <c r="D71" s="1">
        <f>D47</f>
        <v>67680</v>
      </c>
      <c r="E71" s="1">
        <f t="shared" ref="E71:N71" si="24">E47</f>
        <v>67680</v>
      </c>
      <c r="F71" s="1">
        <f t="shared" si="24"/>
        <v>67680</v>
      </c>
      <c r="G71" s="1">
        <f t="shared" si="24"/>
        <v>67680</v>
      </c>
      <c r="H71" s="1">
        <f t="shared" si="24"/>
        <v>67680</v>
      </c>
      <c r="I71" s="1">
        <f t="shared" si="24"/>
        <v>67680</v>
      </c>
      <c r="J71" s="1">
        <f t="shared" si="24"/>
        <v>67680</v>
      </c>
      <c r="K71" s="1">
        <f t="shared" si="24"/>
        <v>67680</v>
      </c>
      <c r="L71" s="1">
        <f t="shared" si="24"/>
        <v>67680</v>
      </c>
      <c r="M71" s="1">
        <f t="shared" si="24"/>
        <v>67680</v>
      </c>
      <c r="N71" s="1">
        <f t="shared" si="24"/>
        <v>67680</v>
      </c>
    </row>
    <row r="72" spans="2:16" x14ac:dyDescent="0.25">
      <c r="B72" t="s">
        <v>87</v>
      </c>
      <c r="C72" s="1">
        <f>Hoja2!E30</f>
        <v>65030</v>
      </c>
      <c r="D72" s="1">
        <v>77009.149999999994</v>
      </c>
      <c r="E72" s="1">
        <v>77837.179999999993</v>
      </c>
      <c r="F72" s="1">
        <f t="shared" ref="F72:N72" si="25">E72</f>
        <v>77837.179999999993</v>
      </c>
      <c r="G72" s="1">
        <f t="shared" si="25"/>
        <v>77837.179999999993</v>
      </c>
      <c r="H72" s="1">
        <f t="shared" si="25"/>
        <v>77837.179999999993</v>
      </c>
      <c r="I72" s="1">
        <f t="shared" si="25"/>
        <v>77837.179999999993</v>
      </c>
      <c r="J72" s="1">
        <f t="shared" si="25"/>
        <v>77837.179999999993</v>
      </c>
      <c r="K72" s="1">
        <f t="shared" si="25"/>
        <v>77837.179999999993</v>
      </c>
      <c r="L72" s="1">
        <f t="shared" si="25"/>
        <v>77837.179999999993</v>
      </c>
      <c r="M72" s="1">
        <f t="shared" si="25"/>
        <v>77837.179999999993</v>
      </c>
      <c r="N72" s="1">
        <f t="shared" si="25"/>
        <v>77837.179999999993</v>
      </c>
    </row>
    <row r="73" spans="2:16" x14ac:dyDescent="0.25">
      <c r="B73" t="s">
        <v>88</v>
      </c>
      <c r="C73" s="1">
        <v>-77009.149999999994</v>
      </c>
      <c r="D73" s="1">
        <v>-77837.179999999993</v>
      </c>
      <c r="E73" s="1">
        <v>-77837.179999999993</v>
      </c>
      <c r="F73" s="1">
        <v>-77837.179999999993</v>
      </c>
      <c r="G73" s="1">
        <v>-77837.179999999993</v>
      </c>
      <c r="H73" s="1">
        <v>-77837.179999999993</v>
      </c>
      <c r="I73" s="1">
        <v>-77837.179999999993</v>
      </c>
      <c r="J73" s="1">
        <v>-77837.179999999993</v>
      </c>
      <c r="K73" s="1">
        <v>-77837.179999999993</v>
      </c>
      <c r="L73" s="1">
        <v>-77837.179999999993</v>
      </c>
      <c r="M73" s="1">
        <v>-77837.179999999993</v>
      </c>
      <c r="N73" s="1">
        <v>-77837.179999999993</v>
      </c>
    </row>
    <row r="74" spans="2:16" x14ac:dyDescent="0.25">
      <c r="B74" t="s">
        <v>95</v>
      </c>
      <c r="C74" s="1">
        <f>Hoja2!F10</f>
        <v>7871.5560000000005</v>
      </c>
      <c r="D74" s="1">
        <v>7871.56</v>
      </c>
      <c r="E74" s="1">
        <v>7871.56</v>
      </c>
      <c r="F74" s="1">
        <v>7871.56</v>
      </c>
      <c r="G74" s="1">
        <v>7871.56</v>
      </c>
      <c r="H74" s="1">
        <v>7871.56</v>
      </c>
      <c r="I74" s="1">
        <v>7871.56</v>
      </c>
      <c r="J74" s="1">
        <v>7871.56</v>
      </c>
      <c r="K74" s="1">
        <v>7871.56</v>
      </c>
      <c r="L74" s="1">
        <v>7871.56</v>
      </c>
      <c r="M74" s="1">
        <v>7871.56</v>
      </c>
      <c r="N74" s="1">
        <v>7871.56</v>
      </c>
    </row>
    <row r="75" spans="2:16" x14ac:dyDescent="0.25">
      <c r="B75" t="s">
        <v>96</v>
      </c>
      <c r="C75" s="1">
        <f>Hoja2!M16</f>
        <v>2243.4883333333337</v>
      </c>
      <c r="D75" s="1">
        <v>2243.4899999999998</v>
      </c>
      <c r="E75" s="1">
        <v>2243.4899999999998</v>
      </c>
      <c r="F75" s="1">
        <v>2243.4899999999998</v>
      </c>
      <c r="G75" s="1">
        <v>2243.4899999999998</v>
      </c>
      <c r="H75" s="1">
        <v>2243.4899999999998</v>
      </c>
      <c r="I75" s="1">
        <v>2243.4899999999998</v>
      </c>
      <c r="J75" s="1">
        <v>2243.4899999999998</v>
      </c>
      <c r="K75" s="1">
        <v>2243.4899999999998</v>
      </c>
      <c r="L75" s="1">
        <v>2243.4899999999998</v>
      </c>
      <c r="M75" s="1">
        <v>2243.4899999999998</v>
      </c>
      <c r="N75" s="1">
        <v>2243.4899999999998</v>
      </c>
    </row>
    <row r="76" spans="2:16" x14ac:dyDescent="0.25">
      <c r="B76" t="s">
        <v>99</v>
      </c>
      <c r="C76" s="1">
        <v>900</v>
      </c>
      <c r="D76" s="1">
        <v>900</v>
      </c>
      <c r="E76" s="1">
        <v>900</v>
      </c>
      <c r="F76" s="1">
        <v>900</v>
      </c>
      <c r="G76" s="1">
        <v>900</v>
      </c>
      <c r="H76" s="1">
        <v>900</v>
      </c>
      <c r="I76" s="1">
        <v>900</v>
      </c>
      <c r="J76" s="1">
        <v>900</v>
      </c>
      <c r="K76" s="1">
        <v>900</v>
      </c>
      <c r="L76" s="1">
        <v>900</v>
      </c>
      <c r="M76" s="1">
        <v>900</v>
      </c>
      <c r="N76" s="1">
        <v>900</v>
      </c>
    </row>
    <row r="77" spans="2:16" x14ac:dyDescent="0.25">
      <c r="B77" t="s">
        <v>100</v>
      </c>
      <c r="C77" s="1">
        <v>350</v>
      </c>
      <c r="D77" s="1">
        <v>350</v>
      </c>
      <c r="E77" s="1">
        <v>350</v>
      </c>
      <c r="F77" s="1">
        <v>350</v>
      </c>
      <c r="G77" s="1">
        <v>350</v>
      </c>
      <c r="H77" s="1">
        <v>350</v>
      </c>
      <c r="I77" s="1">
        <v>350</v>
      </c>
      <c r="J77" s="1">
        <v>350</v>
      </c>
      <c r="K77" s="1">
        <v>350</v>
      </c>
      <c r="L77" s="1">
        <v>350</v>
      </c>
      <c r="M77" s="1">
        <v>350</v>
      </c>
      <c r="N77" s="1">
        <v>350</v>
      </c>
    </row>
    <row r="78" spans="2:16" x14ac:dyDescent="0.25">
      <c r="B78" t="s">
        <v>101</v>
      </c>
      <c r="C78" s="1">
        <v>450</v>
      </c>
      <c r="D78" s="1">
        <v>450</v>
      </c>
      <c r="E78" s="1">
        <v>450</v>
      </c>
      <c r="F78" s="1">
        <v>450</v>
      </c>
      <c r="G78" s="1">
        <v>450</v>
      </c>
      <c r="H78" s="1">
        <v>450</v>
      </c>
      <c r="I78" s="1">
        <v>450</v>
      </c>
      <c r="J78" s="1">
        <v>450</v>
      </c>
      <c r="K78" s="1">
        <v>450</v>
      </c>
      <c r="L78" s="1">
        <v>450</v>
      </c>
      <c r="M78" s="1">
        <v>450</v>
      </c>
      <c r="N78" s="1">
        <v>450</v>
      </c>
    </row>
    <row r="79" spans="2:16" x14ac:dyDescent="0.25">
      <c r="B79" t="s">
        <v>54</v>
      </c>
      <c r="C79" s="1">
        <f>Hoja2!M8</f>
        <v>956.66666666666663</v>
      </c>
      <c r="D79" s="1">
        <v>956.67</v>
      </c>
      <c r="E79" s="1">
        <v>956.67</v>
      </c>
      <c r="F79" s="1">
        <v>956.67</v>
      </c>
      <c r="G79" s="1">
        <v>956.67</v>
      </c>
      <c r="H79" s="1">
        <v>956.67</v>
      </c>
      <c r="I79" s="1">
        <v>956.67</v>
      </c>
      <c r="J79" s="1">
        <v>956.67</v>
      </c>
      <c r="K79" s="1">
        <v>956.67</v>
      </c>
      <c r="L79" s="1">
        <v>956.67</v>
      </c>
      <c r="M79" s="1">
        <v>956.67</v>
      </c>
      <c r="N79" s="1">
        <v>956.67</v>
      </c>
    </row>
    <row r="80" spans="2:16" x14ac:dyDescent="0.25">
      <c r="B80" t="s">
        <v>102</v>
      </c>
      <c r="C80" s="1">
        <f>48950*0.1/12</f>
        <v>407.91666666666669</v>
      </c>
      <c r="D80" s="1">
        <v>407.92</v>
      </c>
      <c r="E80" s="1">
        <v>407.92</v>
      </c>
      <c r="F80" s="1">
        <v>407.92</v>
      </c>
      <c r="G80" s="1">
        <v>407.92</v>
      </c>
      <c r="H80" s="1">
        <v>407.92</v>
      </c>
      <c r="I80" s="1">
        <v>407.92</v>
      </c>
      <c r="J80" s="1">
        <v>407.92</v>
      </c>
      <c r="K80" s="1">
        <v>407.92</v>
      </c>
      <c r="L80" s="1">
        <v>407.92</v>
      </c>
      <c r="M80" s="1">
        <v>407.92</v>
      </c>
      <c r="N80" s="1">
        <v>407.92</v>
      </c>
    </row>
    <row r="81" spans="2:15" x14ac:dyDescent="0.25">
      <c r="B81" t="s">
        <v>103</v>
      </c>
      <c r="C81" s="1">
        <f>3450*0.1/12</f>
        <v>28.75</v>
      </c>
      <c r="D81" s="1">
        <f>3450*0.1/12</f>
        <v>28.75</v>
      </c>
      <c r="E81" s="1">
        <f t="shared" ref="E81:N81" si="26">3450*0.1/12</f>
        <v>28.75</v>
      </c>
      <c r="F81" s="1">
        <f t="shared" si="26"/>
        <v>28.75</v>
      </c>
      <c r="G81" s="1">
        <f t="shared" si="26"/>
        <v>28.75</v>
      </c>
      <c r="H81" s="1">
        <f t="shared" si="26"/>
        <v>28.75</v>
      </c>
      <c r="I81" s="1">
        <f t="shared" si="26"/>
        <v>28.75</v>
      </c>
      <c r="J81" s="1">
        <f t="shared" si="26"/>
        <v>28.75</v>
      </c>
      <c r="K81" s="1">
        <f t="shared" si="26"/>
        <v>28.75</v>
      </c>
      <c r="L81" s="1">
        <f t="shared" si="26"/>
        <v>28.75</v>
      </c>
      <c r="M81" s="1">
        <f t="shared" si="26"/>
        <v>28.75</v>
      </c>
      <c r="N81" s="1">
        <f t="shared" si="26"/>
        <v>28.75</v>
      </c>
    </row>
    <row r="82" spans="2:15" x14ac:dyDescent="0.25">
      <c r="B82" t="s">
        <v>104</v>
      </c>
      <c r="C82" s="1">
        <f>2120*0.1/12</f>
        <v>17.666666666666668</v>
      </c>
      <c r="D82" s="1">
        <v>17.670000000000002</v>
      </c>
      <c r="E82" s="1">
        <v>17.670000000000002</v>
      </c>
      <c r="F82" s="1">
        <v>17.670000000000002</v>
      </c>
      <c r="G82" s="1">
        <v>17.670000000000002</v>
      </c>
      <c r="H82" s="1">
        <v>17.670000000000002</v>
      </c>
      <c r="I82" s="1">
        <v>17.670000000000002</v>
      </c>
      <c r="J82" s="1">
        <v>17.670000000000002</v>
      </c>
      <c r="K82" s="1">
        <v>17.670000000000002</v>
      </c>
      <c r="L82" s="1">
        <v>17.670000000000002</v>
      </c>
      <c r="M82" s="1">
        <v>17.670000000000002</v>
      </c>
      <c r="N82" s="1">
        <v>17.670000000000002</v>
      </c>
    </row>
    <row r="83" spans="2:15" x14ac:dyDescent="0.25">
      <c r="B83" t="s">
        <v>105</v>
      </c>
      <c r="C83" s="1">
        <f>Hoja2!J10</f>
        <v>99.583333333333329</v>
      </c>
      <c r="D83" s="1">
        <v>99.58</v>
      </c>
      <c r="E83" s="1">
        <v>99.58</v>
      </c>
      <c r="F83" s="1">
        <v>99.58</v>
      </c>
      <c r="G83" s="1">
        <v>99.58</v>
      </c>
      <c r="H83" s="1">
        <v>99.58</v>
      </c>
      <c r="I83" s="1">
        <v>99.58</v>
      </c>
      <c r="J83" s="1">
        <v>99.58</v>
      </c>
      <c r="K83" s="1">
        <v>99.58</v>
      </c>
      <c r="L83" s="1">
        <v>99.58</v>
      </c>
      <c r="M83" s="1">
        <v>99.58</v>
      </c>
      <c r="N83" s="1">
        <v>99.58</v>
      </c>
    </row>
    <row r="84" spans="2:15" x14ac:dyDescent="0.25">
      <c r="B84" t="s">
        <v>107</v>
      </c>
      <c r="C84" s="1">
        <f>O84/12</f>
        <v>164.58333333333334</v>
      </c>
      <c r="D84" s="1">
        <v>164.58</v>
      </c>
      <c r="E84" s="1">
        <v>164.58</v>
      </c>
      <c r="F84" s="1">
        <v>164.58</v>
      </c>
      <c r="G84" s="1">
        <v>164.58</v>
      </c>
      <c r="H84" s="1">
        <v>164.58</v>
      </c>
      <c r="I84" s="1">
        <v>164.58</v>
      </c>
      <c r="J84" s="1">
        <v>164.58</v>
      </c>
      <c r="K84" s="1">
        <v>164.58</v>
      </c>
      <c r="L84" s="1">
        <v>164.58</v>
      </c>
      <c r="M84" s="1">
        <v>164.58</v>
      </c>
      <c r="N84" s="1">
        <v>164.58</v>
      </c>
      <c r="O84">
        <f>990+985</f>
        <v>1975</v>
      </c>
    </row>
    <row r="85" spans="2:15" x14ac:dyDescent="0.25">
      <c r="B85" t="s">
        <v>108</v>
      </c>
      <c r="C85" s="1">
        <f>O85/12</f>
        <v>50.833333333333336</v>
      </c>
      <c r="D85" s="1">
        <v>50.83</v>
      </c>
      <c r="E85" s="1">
        <v>50.83</v>
      </c>
      <c r="F85" s="1">
        <v>50.83</v>
      </c>
      <c r="G85" s="1">
        <v>50.83</v>
      </c>
      <c r="H85" s="1">
        <v>50.83</v>
      </c>
      <c r="I85" s="1">
        <v>50.83</v>
      </c>
      <c r="J85" s="1">
        <v>50.83</v>
      </c>
      <c r="K85" s="1">
        <v>50.83</v>
      </c>
      <c r="L85" s="1">
        <v>50.83</v>
      </c>
      <c r="M85" s="1">
        <v>50.83</v>
      </c>
      <c r="N85" s="1">
        <v>50.83</v>
      </c>
      <c r="O85">
        <f>305*2</f>
        <v>610</v>
      </c>
    </row>
    <row r="86" spans="2:15" x14ac:dyDescent="0.25">
      <c r="B86" t="s">
        <v>109</v>
      </c>
      <c r="C86" s="1">
        <v>420</v>
      </c>
      <c r="D86" s="1">
        <v>420</v>
      </c>
      <c r="E86" s="1">
        <v>420</v>
      </c>
      <c r="F86" s="1">
        <v>420</v>
      </c>
      <c r="G86" s="1">
        <v>420</v>
      </c>
      <c r="H86" s="1">
        <v>420</v>
      </c>
      <c r="I86" s="1">
        <v>420</v>
      </c>
      <c r="J86" s="1">
        <v>420</v>
      </c>
      <c r="K86" s="1">
        <v>420</v>
      </c>
      <c r="L86" s="1">
        <v>420</v>
      </c>
      <c r="M86" s="1">
        <v>420</v>
      </c>
      <c r="N86" s="1">
        <v>420</v>
      </c>
    </row>
    <row r="87" spans="2:15" x14ac:dyDescent="0.25">
      <c r="B87" t="s">
        <v>110</v>
      </c>
      <c r="C87" s="1">
        <v>100</v>
      </c>
      <c r="D87" s="1">
        <v>100</v>
      </c>
      <c r="E87" s="1">
        <v>100</v>
      </c>
      <c r="F87" s="1">
        <v>100</v>
      </c>
      <c r="G87" s="1">
        <v>100</v>
      </c>
      <c r="H87" s="1">
        <v>100</v>
      </c>
      <c r="I87" s="1">
        <v>100</v>
      </c>
      <c r="J87" s="1">
        <v>100</v>
      </c>
      <c r="K87" s="1">
        <v>100</v>
      </c>
      <c r="L87" s="1">
        <v>100</v>
      </c>
      <c r="M87" s="1">
        <v>100</v>
      </c>
      <c r="N87" s="1">
        <v>100</v>
      </c>
      <c r="O87">
        <f>1200/12</f>
        <v>100</v>
      </c>
    </row>
    <row r="88" spans="2:15" x14ac:dyDescent="0.25">
      <c r="B88" t="s">
        <v>111</v>
      </c>
      <c r="C88" s="1">
        <f>SUM(C71:C87)</f>
        <v>75491.89433333333</v>
      </c>
      <c r="D88" s="1">
        <f>SUM(D71:D87)</f>
        <v>80913.02</v>
      </c>
      <c r="E88" s="1">
        <f t="shared" ref="E88:N88" si="27">SUM(E71:E87)</f>
        <v>81741.05</v>
      </c>
      <c r="F88" s="1">
        <f t="shared" si="27"/>
        <v>81741.05</v>
      </c>
      <c r="G88" s="1">
        <f t="shared" si="27"/>
        <v>81741.05</v>
      </c>
      <c r="H88" s="3">
        <f t="shared" si="27"/>
        <v>81741.05</v>
      </c>
      <c r="I88" s="3">
        <f t="shared" si="27"/>
        <v>81741.05</v>
      </c>
      <c r="J88" s="3">
        <f t="shared" si="27"/>
        <v>81741.05</v>
      </c>
      <c r="K88" s="3">
        <f t="shared" si="27"/>
        <v>81741.05</v>
      </c>
      <c r="L88" s="3">
        <f t="shared" si="27"/>
        <v>81741.05</v>
      </c>
      <c r="M88" s="3">
        <f t="shared" si="27"/>
        <v>81741.05</v>
      </c>
      <c r="N88" s="3">
        <f t="shared" si="27"/>
        <v>81741.05</v>
      </c>
      <c r="O88" s="6" t="s">
        <v>113</v>
      </c>
    </row>
    <row r="89" spans="2:15" x14ac:dyDescent="0.25">
      <c r="B89" s="6" t="s">
        <v>112</v>
      </c>
      <c r="C89" s="2">
        <f>C68-C88</f>
        <v>41271.905666666673</v>
      </c>
      <c r="D89" s="2">
        <f>D68-D88</f>
        <v>35850.78</v>
      </c>
      <c r="E89" s="2">
        <f>E68-E88</f>
        <v>35022.75</v>
      </c>
      <c r="F89" s="2">
        <f t="shared" ref="F89:N89" si="28">F68-F88</f>
        <v>35022.75</v>
      </c>
      <c r="G89" s="2">
        <f t="shared" si="28"/>
        <v>35022.75</v>
      </c>
      <c r="H89" s="2">
        <f t="shared" si="28"/>
        <v>35022.75</v>
      </c>
      <c r="I89" s="2">
        <f t="shared" si="28"/>
        <v>35022.75</v>
      </c>
      <c r="J89" s="2">
        <f t="shared" si="28"/>
        <v>35022.75</v>
      </c>
      <c r="K89" s="2">
        <f t="shared" si="28"/>
        <v>35022.75</v>
      </c>
      <c r="L89" s="2">
        <f t="shared" si="28"/>
        <v>35022.75</v>
      </c>
      <c r="M89" s="2">
        <f t="shared" si="28"/>
        <v>35022.75</v>
      </c>
      <c r="N89" s="2">
        <f t="shared" si="28"/>
        <v>35022.75</v>
      </c>
      <c r="O89" s="7">
        <f>C89+D89+E89+F89+G89+H89+I89+J89+K89+L89+M89+N89</f>
        <v>427350.18566666666</v>
      </c>
    </row>
    <row r="90" spans="2:15" x14ac:dyDescent="0.25">
      <c r="C90" s="1"/>
      <c r="D90" s="1"/>
      <c r="E90" s="1"/>
      <c r="F90" s="1"/>
      <c r="G90" s="1"/>
    </row>
    <row r="91" spans="2:15" x14ac:dyDescent="0.25">
      <c r="C91" s="1"/>
      <c r="D91" s="1" t="s">
        <v>116</v>
      </c>
      <c r="E91" s="1"/>
      <c r="F91" s="1"/>
      <c r="G91" s="1"/>
    </row>
    <row r="92" spans="2:15" x14ac:dyDescent="0.25">
      <c r="B92" t="s">
        <v>117</v>
      </c>
      <c r="C92" s="1">
        <v>16772</v>
      </c>
      <c r="D92" s="1"/>
      <c r="E92" s="1"/>
      <c r="F92" s="1"/>
      <c r="G92" s="1"/>
    </row>
    <row r="93" spans="2:15" x14ac:dyDescent="0.25">
      <c r="B93" t="s">
        <v>118</v>
      </c>
      <c r="C93" s="1"/>
      <c r="D93" s="1"/>
      <c r="E93" s="1"/>
      <c r="F93" s="1"/>
      <c r="G93" s="1"/>
    </row>
    <row r="94" spans="2:15" x14ac:dyDescent="0.25">
      <c r="B94">
        <v>543</v>
      </c>
      <c r="C94" s="1">
        <v>2150</v>
      </c>
      <c r="D94" s="1"/>
      <c r="E94" s="1"/>
      <c r="F94" s="1"/>
      <c r="G94" s="1"/>
    </row>
    <row r="95" spans="2:15" x14ac:dyDescent="0.25">
      <c r="B95">
        <v>430</v>
      </c>
      <c r="C95" s="1">
        <v>8490</v>
      </c>
      <c r="D95" s="1"/>
      <c r="E95" s="1"/>
      <c r="F95" s="1"/>
      <c r="G95" s="1"/>
    </row>
    <row r="96" spans="2:15" x14ac:dyDescent="0.25">
      <c r="B96">
        <v>4310</v>
      </c>
      <c r="C96" s="1">
        <v>8350</v>
      </c>
      <c r="E96" s="1"/>
    </row>
    <row r="97" spans="1:20" x14ac:dyDescent="0.25">
      <c r="A97" t="s">
        <v>119</v>
      </c>
      <c r="B97">
        <v>400</v>
      </c>
      <c r="C97" s="1">
        <v>-16490</v>
      </c>
    </row>
    <row r="98" spans="1:20" x14ac:dyDescent="0.25">
      <c r="B98">
        <v>401</v>
      </c>
      <c r="C98" s="1">
        <v>-6170</v>
      </c>
    </row>
    <row r="99" spans="1:20" x14ac:dyDescent="0.25">
      <c r="B99">
        <v>410</v>
      </c>
      <c r="C99" s="1">
        <v>-3160</v>
      </c>
    </row>
    <row r="100" spans="1:20" x14ac:dyDescent="0.25">
      <c r="B100">
        <v>4750</v>
      </c>
      <c r="C100" s="1">
        <v>-2190</v>
      </c>
    </row>
    <row r="101" spans="1:20" x14ac:dyDescent="0.25">
      <c r="B101">
        <v>4751</v>
      </c>
      <c r="C101" s="1">
        <v>-2088</v>
      </c>
    </row>
    <row r="102" spans="1:20" x14ac:dyDescent="0.25">
      <c r="B102">
        <v>476</v>
      </c>
      <c r="C102" s="1">
        <v>-2204</v>
      </c>
    </row>
    <row r="103" spans="1:20" x14ac:dyDescent="0.25">
      <c r="B103" s="6" t="s">
        <v>156</v>
      </c>
      <c r="C103" s="2">
        <f>SUM(C92:C102)</f>
        <v>3460</v>
      </c>
      <c r="D103" s="3">
        <f>C121</f>
        <v>37505.786733333334</v>
      </c>
      <c r="E103" s="3">
        <f t="shared" ref="E103:K103" si="29">D121</f>
        <v>68517.554466666668</v>
      </c>
      <c r="F103" s="3">
        <f t="shared" si="29"/>
        <v>108694.66246666666</v>
      </c>
      <c r="G103" s="3">
        <f t="shared" si="29"/>
        <v>123580.92646666666</v>
      </c>
      <c r="H103" s="3">
        <f t="shared" si="29"/>
        <v>171598.83446666665</v>
      </c>
      <c r="I103" s="3">
        <f t="shared" si="29"/>
        <v>219311.74246666665</v>
      </c>
      <c r="J103" s="3">
        <f t="shared" si="29"/>
        <v>232832.20646666666</v>
      </c>
      <c r="K103" s="3">
        <f t="shared" si="29"/>
        <v>280305.61446666659</v>
      </c>
      <c r="L103" s="3">
        <f>K121</f>
        <v>328323.52246666653</v>
      </c>
      <c r="M103" s="3">
        <f>L121</f>
        <v>346848.73646666651</v>
      </c>
      <c r="N103" s="3">
        <f>M121</f>
        <v>390946.3944666665</v>
      </c>
    </row>
    <row r="104" spans="1:20" x14ac:dyDescent="0.25">
      <c r="B104" s="6"/>
      <c r="C104" s="8"/>
    </row>
    <row r="105" spans="1:20" x14ac:dyDescent="0.25">
      <c r="B105" t="s">
        <v>120</v>
      </c>
      <c r="C105" s="1">
        <f>C65*0.3</f>
        <v>42385.259400000003</v>
      </c>
      <c r="D105" s="1">
        <f t="shared" ref="D105:N105" si="30">D65*0.3</f>
        <v>42385.259400000003</v>
      </c>
      <c r="E105" s="1">
        <f t="shared" si="30"/>
        <v>42385.259400000003</v>
      </c>
      <c r="F105" s="1">
        <f t="shared" si="30"/>
        <v>42385.259400000003</v>
      </c>
      <c r="G105" s="1">
        <f t="shared" si="30"/>
        <v>42385.259400000003</v>
      </c>
      <c r="H105" s="1">
        <f t="shared" si="30"/>
        <v>42385.259400000003</v>
      </c>
      <c r="I105" s="1">
        <f t="shared" si="30"/>
        <v>42385.259400000003</v>
      </c>
      <c r="J105" s="1">
        <f t="shared" si="30"/>
        <v>42385.259400000003</v>
      </c>
      <c r="K105" s="1">
        <f t="shared" si="30"/>
        <v>42385.259400000003</v>
      </c>
      <c r="L105" s="1">
        <f t="shared" si="30"/>
        <v>42385.259400000003</v>
      </c>
      <c r="M105" s="1">
        <f t="shared" si="30"/>
        <v>42385.259400000003</v>
      </c>
      <c r="N105" s="1">
        <f t="shared" si="30"/>
        <v>42385.259400000003</v>
      </c>
      <c r="O105" s="1" t="s">
        <v>129</v>
      </c>
    </row>
    <row r="106" spans="1:20" x14ac:dyDescent="0.25">
      <c r="C106" s="1"/>
      <c r="D106" s="1"/>
      <c r="E106" s="1">
        <f>C65*0.7</f>
        <v>98898.938599999994</v>
      </c>
      <c r="F106" s="1">
        <f>E106</f>
        <v>98898.938599999994</v>
      </c>
      <c r="G106" s="1">
        <f t="shared" ref="G106:N106" si="31">F106</f>
        <v>98898.938599999994</v>
      </c>
      <c r="H106" s="1">
        <f t="shared" si="31"/>
        <v>98898.938599999994</v>
      </c>
      <c r="I106" s="1">
        <f t="shared" si="31"/>
        <v>98898.938599999994</v>
      </c>
      <c r="J106" s="1">
        <f t="shared" si="31"/>
        <v>98898.938599999994</v>
      </c>
      <c r="K106" s="1">
        <f t="shared" si="31"/>
        <v>98898.938599999994</v>
      </c>
      <c r="L106" s="1">
        <f t="shared" si="31"/>
        <v>98898.938599999994</v>
      </c>
      <c r="M106" s="1">
        <f t="shared" si="31"/>
        <v>98898.938599999994</v>
      </c>
      <c r="N106" s="1">
        <f t="shared" si="31"/>
        <v>98898.938599999994</v>
      </c>
      <c r="O106" s="1">
        <f>M106+N106</f>
        <v>197797.87719999999</v>
      </c>
      <c r="P106" t="s">
        <v>154</v>
      </c>
    </row>
    <row r="107" spans="1:20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20" x14ac:dyDescent="0.25">
      <c r="B108" t="s">
        <v>85</v>
      </c>
      <c r="E108" s="1">
        <f>C47*1.21</f>
        <v>88826.099999999991</v>
      </c>
      <c r="F108" s="1">
        <f t="shared" ref="F108:N108" si="32">D47*1.21</f>
        <v>81892.800000000003</v>
      </c>
      <c r="G108" s="1">
        <f t="shared" si="32"/>
        <v>81892.800000000003</v>
      </c>
      <c r="H108" s="1">
        <f t="shared" si="32"/>
        <v>81892.800000000003</v>
      </c>
      <c r="I108" s="1">
        <f t="shared" si="32"/>
        <v>81892.800000000003</v>
      </c>
      <c r="J108" s="1">
        <f t="shared" si="32"/>
        <v>81892.800000000003</v>
      </c>
      <c r="K108" s="1">
        <f t="shared" si="32"/>
        <v>81892.800000000003</v>
      </c>
      <c r="L108" s="1">
        <f t="shared" si="32"/>
        <v>81892.800000000003</v>
      </c>
      <c r="M108" s="1">
        <f t="shared" si="32"/>
        <v>81892.800000000003</v>
      </c>
      <c r="N108" s="1">
        <f t="shared" si="32"/>
        <v>81892.800000000003</v>
      </c>
      <c r="O108" s="1">
        <f>M108+N108</f>
        <v>163785.60000000001</v>
      </c>
      <c r="P108" t="s">
        <v>155</v>
      </c>
    </row>
    <row r="109" spans="1:20" x14ac:dyDescent="0.25">
      <c r="B109" t="s">
        <v>121</v>
      </c>
      <c r="C109" s="3">
        <f>Hoja2!O33</f>
        <v>5945.2726666666667</v>
      </c>
      <c r="D109" s="1">
        <v>5945.27</v>
      </c>
      <c r="E109" s="1">
        <v>5945.27</v>
      </c>
      <c r="F109" s="1">
        <v>5945.27</v>
      </c>
      <c r="G109" s="1">
        <v>5945.27</v>
      </c>
      <c r="H109" s="1">
        <v>5945.27</v>
      </c>
      <c r="I109" s="1">
        <v>5945.27</v>
      </c>
      <c r="J109" s="1">
        <v>5945.27</v>
      </c>
      <c r="K109" s="1">
        <v>5945.27</v>
      </c>
      <c r="L109" s="1">
        <v>5945.27</v>
      </c>
      <c r="M109" s="1">
        <v>5945.27</v>
      </c>
      <c r="N109" s="1">
        <v>5945.27</v>
      </c>
      <c r="O109" t="s">
        <v>129</v>
      </c>
    </row>
    <row r="110" spans="1:20" x14ac:dyDescent="0.25">
      <c r="B110" t="s">
        <v>127</v>
      </c>
      <c r="D110" s="1">
        <f>Hoja2!P25</f>
        <v>3034.0216666666665</v>
      </c>
      <c r="E110" s="1">
        <v>3034.02</v>
      </c>
      <c r="F110" s="1">
        <v>3034.02</v>
      </c>
      <c r="G110" s="1">
        <v>3034.02</v>
      </c>
      <c r="H110" s="1">
        <v>3034.02</v>
      </c>
      <c r="I110" s="1">
        <v>3034.02</v>
      </c>
      <c r="J110" s="1">
        <v>3034.02</v>
      </c>
      <c r="K110" s="1">
        <v>3034.02</v>
      </c>
      <c r="L110" s="1">
        <v>3034.02</v>
      </c>
      <c r="M110" s="1">
        <v>3034.02</v>
      </c>
      <c r="N110" s="1">
        <v>3034.02</v>
      </c>
      <c r="O110" s="1">
        <v>3034.02</v>
      </c>
      <c r="P110" s="1" t="s">
        <v>196</v>
      </c>
      <c r="Q110" s="1"/>
      <c r="R110" s="1"/>
      <c r="S110" s="1"/>
      <c r="T110" s="1"/>
    </row>
    <row r="111" spans="1:20" x14ac:dyDescent="0.25">
      <c r="B111" t="s">
        <v>36</v>
      </c>
      <c r="C111" s="1">
        <f>Hoja2!L36</f>
        <v>918</v>
      </c>
      <c r="D111" s="1">
        <v>918</v>
      </c>
      <c r="E111" s="1">
        <v>918</v>
      </c>
      <c r="F111" s="1">
        <v>918</v>
      </c>
      <c r="G111" s="1">
        <v>918</v>
      </c>
      <c r="H111" s="1">
        <v>918</v>
      </c>
      <c r="I111" s="1">
        <v>918</v>
      </c>
      <c r="J111" s="1">
        <v>918</v>
      </c>
      <c r="K111" s="1">
        <v>918</v>
      </c>
      <c r="L111" s="1">
        <v>918</v>
      </c>
      <c r="M111" s="1">
        <v>918</v>
      </c>
      <c r="N111" s="1">
        <v>918</v>
      </c>
      <c r="O111" s="1"/>
      <c r="P111" s="1"/>
      <c r="Q111" s="1"/>
      <c r="R111" s="1"/>
      <c r="S111" s="1"/>
      <c r="T111" s="1"/>
    </row>
    <row r="112" spans="1:20" x14ac:dyDescent="0.25">
      <c r="B112" t="s">
        <v>109</v>
      </c>
      <c r="C112" s="1">
        <f>420*1.21</f>
        <v>508.2</v>
      </c>
      <c r="D112" s="1">
        <v>508.2</v>
      </c>
      <c r="E112" s="1">
        <v>508.2</v>
      </c>
      <c r="F112" s="1">
        <v>508.2</v>
      </c>
      <c r="G112" s="1">
        <v>508.2</v>
      </c>
      <c r="H112" s="1">
        <v>508.2</v>
      </c>
      <c r="I112" s="1">
        <v>508.2</v>
      </c>
      <c r="J112" s="1">
        <v>508.2</v>
      </c>
      <c r="K112" s="1">
        <v>508.2</v>
      </c>
      <c r="L112" s="1">
        <v>508.2</v>
      </c>
      <c r="M112" s="1">
        <v>508.2</v>
      </c>
      <c r="N112" s="1">
        <v>508.2</v>
      </c>
      <c r="O112" s="1"/>
      <c r="P112" s="1"/>
      <c r="Q112" s="1"/>
      <c r="R112" s="1"/>
      <c r="S112" s="1"/>
      <c r="T112" s="1"/>
    </row>
    <row r="113" spans="2:20" x14ac:dyDescent="0.25">
      <c r="B113" t="s">
        <v>100</v>
      </c>
      <c r="C113" s="1">
        <f>350*1.21</f>
        <v>423.5</v>
      </c>
      <c r="D113" s="1">
        <v>423.5</v>
      </c>
      <c r="E113" s="1">
        <v>423.5</v>
      </c>
      <c r="F113" s="1">
        <v>423.5</v>
      </c>
      <c r="G113" s="1">
        <v>423.5</v>
      </c>
      <c r="H113" s="1">
        <v>423.5</v>
      </c>
      <c r="I113" s="1">
        <v>423.5</v>
      </c>
      <c r="J113" s="1">
        <v>423.5</v>
      </c>
      <c r="K113" s="1">
        <v>423.5</v>
      </c>
      <c r="L113" s="1">
        <v>423.5</v>
      </c>
      <c r="M113" s="1">
        <v>423.5</v>
      </c>
      <c r="N113" s="1">
        <v>423.5</v>
      </c>
      <c r="O113" s="1"/>
      <c r="P113" s="1"/>
      <c r="Q113" s="1"/>
      <c r="R113" s="1"/>
      <c r="S113" s="1"/>
      <c r="T113" s="1"/>
    </row>
    <row r="114" spans="2:20" x14ac:dyDescent="0.25">
      <c r="B114" t="s">
        <v>57</v>
      </c>
      <c r="C114" s="1">
        <f>450*1.21</f>
        <v>544.5</v>
      </c>
      <c r="D114" s="1">
        <f>450*1.21</f>
        <v>544.5</v>
      </c>
      <c r="E114" s="1">
        <f t="shared" ref="E114:N114" si="33">450*1.21</f>
        <v>544.5</v>
      </c>
      <c r="F114" s="1">
        <f t="shared" si="33"/>
        <v>544.5</v>
      </c>
      <c r="G114" s="1">
        <f t="shared" si="33"/>
        <v>544.5</v>
      </c>
      <c r="H114" s="1">
        <f t="shared" si="33"/>
        <v>544.5</v>
      </c>
      <c r="I114" s="1">
        <f t="shared" si="33"/>
        <v>544.5</v>
      </c>
      <c r="J114" s="1">
        <f t="shared" si="33"/>
        <v>544.5</v>
      </c>
      <c r="K114" s="1">
        <f t="shared" si="33"/>
        <v>544.5</v>
      </c>
      <c r="L114" s="1">
        <f t="shared" si="33"/>
        <v>544.5</v>
      </c>
      <c r="M114" s="1">
        <f t="shared" si="33"/>
        <v>544.5</v>
      </c>
      <c r="N114" s="1">
        <f t="shared" si="33"/>
        <v>544.5</v>
      </c>
      <c r="O114" s="1"/>
      <c r="P114" s="1"/>
      <c r="Q114" s="1"/>
      <c r="R114" s="1"/>
      <c r="S114" s="1"/>
      <c r="T114" s="1"/>
    </row>
    <row r="115" spans="2:20" x14ac:dyDescent="0.25">
      <c r="B115" t="s">
        <v>132</v>
      </c>
      <c r="C115" s="1"/>
      <c r="D115" s="1"/>
      <c r="E115" s="1"/>
      <c r="F115" s="1">
        <v>985</v>
      </c>
      <c r="G115" s="1"/>
      <c r="H115" s="1"/>
      <c r="I115" s="1">
        <v>990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25">
      <c r="B116" t="s">
        <v>108</v>
      </c>
      <c r="C116" s="1"/>
      <c r="D116" s="1"/>
      <c r="E116" s="1"/>
      <c r="F116" s="1"/>
      <c r="G116" s="1"/>
      <c r="H116" s="1">
        <f>160+145</f>
        <v>305</v>
      </c>
      <c r="I116" s="1"/>
      <c r="J116" s="1"/>
      <c r="K116" s="1"/>
      <c r="L116" s="1"/>
      <c r="M116" s="1"/>
      <c r="N116" s="1">
        <v>305</v>
      </c>
      <c r="O116" s="1"/>
      <c r="P116" s="1"/>
      <c r="Q116" s="1"/>
      <c r="R116" s="1"/>
      <c r="S116" s="1"/>
      <c r="T116" s="1"/>
    </row>
    <row r="117" spans="2:20" x14ac:dyDescent="0.25">
      <c r="B117" t="s">
        <v>197</v>
      </c>
      <c r="C117" s="1"/>
      <c r="D117" s="1"/>
      <c r="E117" s="1"/>
      <c r="F117" s="1">
        <f>Hoja2!P32</f>
        <v>3920.25</v>
      </c>
      <c r="G117" s="1"/>
      <c r="H117" s="1"/>
      <c r="I117" s="1">
        <f>F117</f>
        <v>3920.25</v>
      </c>
      <c r="J117" s="1"/>
      <c r="K117" s="1"/>
      <c r="L117" s="1"/>
      <c r="M117" s="1">
        <f>I117</f>
        <v>3920.25</v>
      </c>
      <c r="N117" s="1"/>
      <c r="O117" s="2">
        <f>M117</f>
        <v>3920.25</v>
      </c>
      <c r="P117" s="2" t="s">
        <v>198</v>
      </c>
      <c r="Q117" s="1"/>
      <c r="R117" s="1"/>
      <c r="S117" s="1"/>
      <c r="T117" s="1"/>
    </row>
    <row r="118" spans="2:20" x14ac:dyDescent="0.25">
      <c r="B118" t="s">
        <v>110</v>
      </c>
      <c r="C118" s="1"/>
      <c r="D118" s="1"/>
      <c r="E118" s="1">
        <f>750*1.21</f>
        <v>907.5</v>
      </c>
      <c r="F118" s="1"/>
      <c r="G118" s="1"/>
      <c r="H118" s="1"/>
      <c r="I118" s="1"/>
      <c r="J118" s="1">
        <f>450*1.21</f>
        <v>544.5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25">
      <c r="B119" t="s">
        <v>133</v>
      </c>
      <c r="C119" s="1"/>
      <c r="D119" s="1"/>
      <c r="E119" s="1"/>
      <c r="F119" s="1">
        <f>Hoja2!E55</f>
        <v>28226.394000000008</v>
      </c>
      <c r="G119" s="1"/>
      <c r="H119" s="1"/>
      <c r="I119" s="1">
        <f>Hoja2!I51</f>
        <v>29587.194000000003</v>
      </c>
      <c r="J119" s="1"/>
      <c r="K119" s="1"/>
      <c r="L119" s="1">
        <f>Hoja2!O50</f>
        <v>29492.694000000003</v>
      </c>
      <c r="M119" s="1"/>
      <c r="N119" s="1"/>
      <c r="O119" s="1">
        <f>Hoja2!R47</f>
        <v>29587.194000000003</v>
      </c>
      <c r="P119" s="1" t="s">
        <v>153</v>
      </c>
      <c r="Q119" s="1"/>
      <c r="R119" s="1"/>
      <c r="S119" s="1"/>
      <c r="T119" s="1"/>
    </row>
    <row r="120" spans="2:20" x14ac:dyDescent="0.25">
      <c r="B120" t="s">
        <v>158</v>
      </c>
      <c r="C120" s="1">
        <f>SUM(C109:C119)</f>
        <v>8339.4726666666666</v>
      </c>
      <c r="D120" s="1">
        <f>SUM(D109:D119)</f>
        <v>11373.491666666669</v>
      </c>
      <c r="E120" s="1">
        <f>SUM(E108:E119)</f>
        <v>101107.09</v>
      </c>
      <c r="F120" s="1">
        <f>SUM(F108:F119)</f>
        <v>126397.93400000001</v>
      </c>
      <c r="G120" s="1">
        <f>SUM(G108:G119)</f>
        <v>93266.290000000008</v>
      </c>
      <c r="H120" s="1">
        <f t="shared" ref="H120:J120" si="34">SUM(H108:H119)</f>
        <v>93571.290000000008</v>
      </c>
      <c r="I120" s="1">
        <f>SUM(I108:I119)</f>
        <v>127763.73400000001</v>
      </c>
      <c r="J120" s="1">
        <f t="shared" si="34"/>
        <v>93810.790000000008</v>
      </c>
      <c r="K120" s="1">
        <f>SUM(K108:K119)</f>
        <v>93266.290000000008</v>
      </c>
      <c r="L120" s="1">
        <f>SUM(L108:L119)</f>
        <v>122758.98400000001</v>
      </c>
      <c r="M120" s="1">
        <f>SUM(M108:M119)</f>
        <v>97186.540000000008</v>
      </c>
      <c r="N120" s="1">
        <f>SUM(N108:N119)</f>
        <v>93571.290000000008</v>
      </c>
      <c r="O120" s="1"/>
      <c r="P120" s="1"/>
      <c r="Q120" s="1"/>
      <c r="R120" s="1"/>
      <c r="S120" s="1"/>
      <c r="T120" s="1"/>
    </row>
    <row r="121" spans="2:20" x14ac:dyDescent="0.25">
      <c r="B121" t="s">
        <v>157</v>
      </c>
      <c r="C121" s="1">
        <f>C103+C105-C120</f>
        <v>37505.786733333334</v>
      </c>
      <c r="D121" s="1">
        <f>D103+D105-D120</f>
        <v>68517.554466666668</v>
      </c>
      <c r="E121" s="1">
        <f>E103+E105+E106-E120</f>
        <v>108694.66246666666</v>
      </c>
      <c r="F121" s="1">
        <f>F103+F105+F106+F107-F120</f>
        <v>123580.92646666666</v>
      </c>
      <c r="G121" s="1">
        <f>G103+G105+G106+G107-G120</f>
        <v>171598.83446666665</v>
      </c>
      <c r="H121" s="1">
        <f>H103+H105+H106+H107-H120</f>
        <v>219311.74246666665</v>
      </c>
      <c r="I121" s="1">
        <f>I103+I105+I106+I107-I120</f>
        <v>232832.20646666666</v>
      </c>
      <c r="J121" s="1">
        <f>J103+J105+J106+J107-J120</f>
        <v>280305.61446666659</v>
      </c>
      <c r="K121" s="1">
        <f>K103+K105+K106-K120</f>
        <v>328323.52246666653</v>
      </c>
      <c r="L121" s="1">
        <f>L103+L105+L106+L107-L120</f>
        <v>346848.73646666651</v>
      </c>
      <c r="M121" s="1">
        <f>M103+M105+M106+M107-M120</f>
        <v>390946.3944666665</v>
      </c>
      <c r="N121" s="2">
        <f>N103+N105+N106+N107-N120</f>
        <v>438659.30246666644</v>
      </c>
      <c r="O121" s="2" t="s">
        <v>159</v>
      </c>
      <c r="P121" s="1"/>
      <c r="Q121" s="1"/>
      <c r="R121" s="1"/>
      <c r="S121" s="1"/>
      <c r="T121" s="1"/>
    </row>
    <row r="122" spans="2:20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ht="18.75" x14ac:dyDescent="0.3">
      <c r="C124" s="1"/>
      <c r="D124" s="9" t="s">
        <v>160</v>
      </c>
      <c r="E124" s="9"/>
      <c r="F124" s="9" t="s">
        <v>161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25">
      <c r="C125" s="1"/>
      <c r="D125" s="1"/>
      <c r="E125" s="1" t="s">
        <v>162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25">
      <c r="C126" s="1"/>
      <c r="D126" s="1"/>
      <c r="E126" s="11" t="s">
        <v>163</v>
      </c>
      <c r="F126" s="1"/>
      <c r="G126" s="10">
        <v>100</v>
      </c>
      <c r="H126" s="1" t="s">
        <v>181</v>
      </c>
      <c r="I126" s="1">
        <v>70000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25">
      <c r="C127" s="1">
        <v>3450</v>
      </c>
      <c r="D127" s="10">
        <v>206</v>
      </c>
      <c r="E127" s="11" t="s">
        <v>165</v>
      </c>
      <c r="F127" s="1"/>
      <c r="G127" s="10">
        <v>112</v>
      </c>
      <c r="H127" s="1" t="s">
        <v>182</v>
      </c>
      <c r="I127" s="1">
        <v>16000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25">
      <c r="B128">
        <f>690+345</f>
        <v>1035</v>
      </c>
      <c r="C128" s="1">
        <v>-1035</v>
      </c>
      <c r="D128" s="10">
        <v>280</v>
      </c>
      <c r="E128" s="11"/>
      <c r="F128" s="1"/>
      <c r="G128" s="10">
        <v>113</v>
      </c>
      <c r="H128" s="1" t="s">
        <v>183</v>
      </c>
      <c r="I128" s="1">
        <v>10200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25">
      <c r="C129" s="1"/>
      <c r="D129" s="10"/>
      <c r="E129" s="11" t="s">
        <v>164</v>
      </c>
      <c r="F129" s="1"/>
      <c r="G129" s="10">
        <v>1141</v>
      </c>
      <c r="H129" s="1" t="s">
        <v>184</v>
      </c>
      <c r="I129" s="1">
        <v>15250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25">
      <c r="C130" s="1">
        <v>114800</v>
      </c>
      <c r="D130" s="10">
        <v>213</v>
      </c>
      <c r="E130" s="11" t="s">
        <v>166</v>
      </c>
      <c r="F130" s="1"/>
      <c r="G130" s="10">
        <v>120</v>
      </c>
      <c r="H130" s="1" t="s">
        <v>180</v>
      </c>
      <c r="I130" s="1">
        <v>30340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25">
      <c r="B131">
        <f>38200+11480</f>
        <v>49680</v>
      </c>
      <c r="C131" s="1">
        <v>-49680</v>
      </c>
      <c r="D131" s="10">
        <v>281</v>
      </c>
      <c r="E131" s="1" t="s">
        <v>167</v>
      </c>
      <c r="F131" s="1"/>
      <c r="G131" s="10">
        <v>129</v>
      </c>
      <c r="H131" s="1" t="s">
        <v>185</v>
      </c>
      <c r="I131" s="1">
        <f>O89</f>
        <v>427350.18566666666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25">
      <c r="C132" s="1">
        <v>11950</v>
      </c>
      <c r="D132" s="10">
        <v>216</v>
      </c>
      <c r="E132" s="1" t="s">
        <v>168</v>
      </c>
      <c r="F132" s="1"/>
      <c r="G132" s="10"/>
      <c r="H132" s="1" t="s">
        <v>186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25">
      <c r="B133">
        <f>5350+1195</f>
        <v>6545</v>
      </c>
      <c r="C133" s="1">
        <v>-6545</v>
      </c>
      <c r="D133" s="10">
        <v>281</v>
      </c>
      <c r="E133" s="1" t="s">
        <v>169</v>
      </c>
      <c r="F133" s="1"/>
      <c r="G133" s="10"/>
      <c r="H133" s="1" t="s">
        <v>189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25">
      <c r="C134" s="1">
        <v>2120</v>
      </c>
      <c r="D134" s="10">
        <v>217</v>
      </c>
      <c r="E134" s="1" t="s">
        <v>170</v>
      </c>
      <c r="F134" s="1"/>
      <c r="G134" s="10">
        <v>170</v>
      </c>
      <c r="H134" s="1" t="s">
        <v>187</v>
      </c>
      <c r="I134" s="1">
        <v>36120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25">
      <c r="B135">
        <f>1110+212</f>
        <v>1322</v>
      </c>
      <c r="C135" s="1">
        <v>-1322</v>
      </c>
      <c r="D135" s="10">
        <v>281</v>
      </c>
      <c r="E135" s="1" t="s">
        <v>169</v>
      </c>
      <c r="F135" s="1"/>
      <c r="G135" s="10">
        <v>173</v>
      </c>
      <c r="H135" s="1" t="s">
        <v>188</v>
      </c>
      <c r="I135" s="1">
        <v>9810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25">
      <c r="C136" s="1">
        <v>48950</v>
      </c>
      <c r="D136" s="10">
        <v>218</v>
      </c>
      <c r="E136" s="1" t="s">
        <v>171</v>
      </c>
      <c r="F136" s="1"/>
      <c r="G136" s="10"/>
      <c r="H136" s="1" t="s">
        <v>190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25">
      <c r="B137">
        <f>11120+4895</f>
        <v>16015</v>
      </c>
      <c r="C137" s="1">
        <v>-16015</v>
      </c>
      <c r="D137" s="10">
        <v>281</v>
      </c>
      <c r="E137" s="1" t="s">
        <v>169</v>
      </c>
      <c r="F137" s="1"/>
      <c r="G137" s="10">
        <v>400</v>
      </c>
      <c r="H137" s="1" t="s">
        <v>155</v>
      </c>
      <c r="I137" s="1">
        <f>O108</f>
        <v>163785.60000000001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25">
      <c r="C138" s="1"/>
      <c r="D138" s="10"/>
      <c r="E138" s="1" t="s">
        <v>172</v>
      </c>
      <c r="F138" s="1"/>
      <c r="G138" s="10">
        <v>4750</v>
      </c>
      <c r="H138" s="1" t="s">
        <v>191</v>
      </c>
      <c r="I138" s="1">
        <f>O119</f>
        <v>29587.194000000003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25">
      <c r="C139" s="1"/>
      <c r="D139" s="10"/>
      <c r="E139" s="1" t="s">
        <v>173</v>
      </c>
      <c r="F139" s="1"/>
      <c r="G139" s="10">
        <v>4751</v>
      </c>
      <c r="H139" s="1" t="s">
        <v>192</v>
      </c>
      <c r="I139" s="1">
        <f>J139+O111</f>
        <v>3920.25</v>
      </c>
      <c r="J139" s="1">
        <f>O117</f>
        <v>3920.25</v>
      </c>
      <c r="K139" s="1"/>
      <c r="L139" s="1">
        <f>G22</f>
        <v>0</v>
      </c>
      <c r="M139" s="1"/>
      <c r="N139" s="1"/>
      <c r="O139" s="1"/>
      <c r="P139" s="1"/>
      <c r="Q139" s="1"/>
      <c r="R139" s="1"/>
      <c r="S139" s="1"/>
      <c r="T139" s="1"/>
    </row>
    <row r="140" spans="2:20" x14ac:dyDescent="0.25">
      <c r="C140" s="1">
        <v>77837.179999999993</v>
      </c>
      <c r="D140" s="10">
        <v>300</v>
      </c>
      <c r="E140" s="1" t="s">
        <v>174</v>
      </c>
      <c r="F140" s="1"/>
      <c r="G140" s="10">
        <v>476</v>
      </c>
      <c r="H140" s="1" t="s">
        <v>194</v>
      </c>
      <c r="I140" s="1">
        <f>D110</f>
        <v>3034.0216666666665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25">
      <c r="C141" s="1"/>
      <c r="D141" s="10"/>
      <c r="E141" s="1" t="s">
        <v>175</v>
      </c>
      <c r="F141" s="1"/>
      <c r="G141" s="10">
        <v>5201</v>
      </c>
      <c r="H141" s="1" t="s">
        <v>199</v>
      </c>
      <c r="I141" s="1">
        <v>6250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25">
      <c r="C142" s="1">
        <f>O106</f>
        <v>197797.87719999999</v>
      </c>
      <c r="D142" s="10">
        <v>430</v>
      </c>
      <c r="E142" s="1" t="s">
        <v>154</v>
      </c>
      <c r="F142" s="1"/>
      <c r="G142" s="10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25">
      <c r="C143" s="1"/>
      <c r="D143" s="10"/>
      <c r="E143" s="1" t="s">
        <v>176</v>
      </c>
      <c r="F143" s="1"/>
      <c r="G143" s="10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25">
      <c r="C144" s="1">
        <v>680</v>
      </c>
      <c r="D144" s="10">
        <v>570</v>
      </c>
      <c r="E144" s="1" t="s">
        <v>177</v>
      </c>
      <c r="F144" s="1"/>
      <c r="G144" s="10"/>
      <c r="H144" s="2" t="s">
        <v>200</v>
      </c>
      <c r="I144" s="2">
        <f>SUM(I126:I143)</f>
        <v>821647.2513333332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3:20" x14ac:dyDescent="0.25">
      <c r="C145" s="1">
        <f>N121</f>
        <v>438659.30246666644</v>
      </c>
      <c r="D145" s="10">
        <v>572</v>
      </c>
      <c r="E145" s="1" t="s">
        <v>178</v>
      </c>
      <c r="F145" s="1"/>
      <c r="G145" s="10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3:20" x14ac:dyDescent="0.25">
      <c r="C146" s="1"/>
      <c r="D146" s="10"/>
      <c r="E146" s="1"/>
      <c r="F146" s="1"/>
      <c r="G146" s="10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3:20" x14ac:dyDescent="0.25">
      <c r="C147" s="2">
        <f>SUM(C127:C146)</f>
        <v>821647.35966666648</v>
      </c>
      <c r="D147" s="12"/>
      <c r="E147" s="2" t="s">
        <v>179</v>
      </c>
      <c r="F147" s="1"/>
      <c r="G147" s="10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3:20" x14ac:dyDescent="0.25">
      <c r="C148" s="1"/>
      <c r="D148" s="10"/>
      <c r="E148" s="1"/>
      <c r="F148" s="1"/>
      <c r="G148" s="10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3:20" x14ac:dyDescent="0.25">
      <c r="C149" s="1"/>
      <c r="D149" s="10"/>
      <c r="E149" s="1"/>
      <c r="F149" s="1"/>
      <c r="G149" s="10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3:20" x14ac:dyDescent="0.25">
      <c r="C150" s="1"/>
      <c r="D150" s="1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3:20" x14ac:dyDescent="0.25">
      <c r="C151" s="1"/>
      <c r="D151" s="1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3:20" x14ac:dyDescent="0.25">
      <c r="C152" s="1"/>
      <c r="D152" s="1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3:20" x14ac:dyDescent="0.25">
      <c r="C153" s="1"/>
      <c r="D153" s="1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3:20" x14ac:dyDescent="0.25">
      <c r="C154" s="1"/>
      <c r="D154" s="1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3:20" x14ac:dyDescent="0.25">
      <c r="C155" s="1"/>
      <c r="D155" s="1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3:20" x14ac:dyDescent="0.25">
      <c r="C156" s="1"/>
      <c r="D156" s="1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3:20" x14ac:dyDescent="0.25">
      <c r="C157" s="1"/>
      <c r="D157" s="1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3:20" x14ac:dyDescent="0.25">
      <c r="C158" s="1"/>
      <c r="D158" s="1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3:20" x14ac:dyDescent="0.25">
      <c r="C159" s="1"/>
      <c r="D159" s="1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3:20" x14ac:dyDescent="0.25">
      <c r="C160" s="1"/>
      <c r="D160" s="1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3:20" x14ac:dyDescent="0.25">
      <c r="C161" s="1"/>
      <c r="D161" s="1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3:20" x14ac:dyDescent="0.25">
      <c r="C162" s="1"/>
      <c r="D162" s="1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3:20" x14ac:dyDescent="0.25">
      <c r="C163" s="1"/>
      <c r="D163" s="1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3:20" x14ac:dyDescent="0.25">
      <c r="C164" s="1"/>
      <c r="D164" s="1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3:20" x14ac:dyDescent="0.25">
      <c r="C165" s="1"/>
      <c r="D165" s="10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3:20" x14ac:dyDescent="0.25">
      <c r="C166" s="1"/>
      <c r="D166" s="10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3:20" x14ac:dyDescent="0.25">
      <c r="C167" s="1"/>
      <c r="D167" s="10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3:20" x14ac:dyDescent="0.25">
      <c r="C168" s="1"/>
      <c r="D168" s="10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3:20" x14ac:dyDescent="0.25">
      <c r="C169" s="1"/>
      <c r="D169" s="10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3:20" x14ac:dyDescent="0.25">
      <c r="C170" s="1"/>
      <c r="D170" s="10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3:20" x14ac:dyDescent="0.25">
      <c r="C171" s="1"/>
      <c r="D171" s="10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3:20" x14ac:dyDescent="0.25">
      <c r="C172" s="1"/>
      <c r="D172" s="10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3:20" x14ac:dyDescent="0.25">
      <c r="C173" s="1"/>
      <c r="D173" s="10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3:20" x14ac:dyDescent="0.25">
      <c r="C174" s="1"/>
      <c r="D174" s="10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3:20" x14ac:dyDescent="0.25">
      <c r="C175" s="1"/>
      <c r="D175" s="10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3:20" x14ac:dyDescent="0.25">
      <c r="C176" s="1"/>
      <c r="D176" s="1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3:20" x14ac:dyDescent="0.25">
      <c r="C177" s="1"/>
      <c r="D177" s="1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3:20" x14ac:dyDescent="0.25">
      <c r="C178" s="1"/>
      <c r="D178" s="1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3:20" x14ac:dyDescent="0.25">
      <c r="C179" s="1"/>
      <c r="D179" s="1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3:20" x14ac:dyDescent="0.25">
      <c r="C180" s="1"/>
      <c r="D180" s="1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3:20" x14ac:dyDescent="0.25">
      <c r="C181" s="1"/>
      <c r="D181" s="1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3:20" x14ac:dyDescent="0.25">
      <c r="C182" s="1"/>
      <c r="D182" s="1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3:20" x14ac:dyDescent="0.25">
      <c r="C183" s="1"/>
      <c r="D183" s="1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3:20" x14ac:dyDescent="0.25">
      <c r="C184" s="1"/>
      <c r="D184" s="1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3:20" x14ac:dyDescent="0.25">
      <c r="C185" s="1"/>
      <c r="D185" s="1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3:20" x14ac:dyDescent="0.25">
      <c r="C186" s="1"/>
      <c r="D186" s="1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3:20" x14ac:dyDescent="0.25">
      <c r="C187" s="1"/>
      <c r="D187" s="1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3:20" x14ac:dyDescent="0.25">
      <c r="C188" s="1"/>
      <c r="D188" s="1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3:20" x14ac:dyDescent="0.25">
      <c r="C189" s="1"/>
      <c r="D189" s="1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3:20" x14ac:dyDescent="0.25">
      <c r="C190" s="1"/>
      <c r="D190" s="1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3:20" x14ac:dyDescent="0.25">
      <c r="C191" s="1"/>
      <c r="D191" s="1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3:20" x14ac:dyDescent="0.25">
      <c r="C192" s="1"/>
      <c r="D192" s="1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3:20" x14ac:dyDescent="0.25">
      <c r="C193" s="1"/>
      <c r="D193" s="1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3:20" x14ac:dyDescent="0.25">
      <c r="C194" s="1"/>
      <c r="D194" s="1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3:20" x14ac:dyDescent="0.25">
      <c r="C195" s="1"/>
      <c r="D195" s="1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3:20" x14ac:dyDescent="0.25">
      <c r="C196" s="1"/>
      <c r="D196" s="1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3:20" x14ac:dyDescent="0.25">
      <c r="C197" s="1"/>
      <c r="D197" s="1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3:20" x14ac:dyDescent="0.25">
      <c r="C198" s="1"/>
      <c r="D198" s="1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3:20" x14ac:dyDescent="0.25">
      <c r="C199" s="1"/>
      <c r="D199" s="1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3:20" x14ac:dyDescent="0.25">
      <c r="C200" s="1"/>
      <c r="D200" s="1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3:20" x14ac:dyDescent="0.25">
      <c r="C201" s="1"/>
      <c r="D201" s="1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3:20" x14ac:dyDescent="0.25">
      <c r="C202" s="1"/>
      <c r="D202" s="1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3:20" x14ac:dyDescent="0.25">
      <c r="C203" s="1"/>
      <c r="D203" s="1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3:20" x14ac:dyDescent="0.25">
      <c r="C204" s="1"/>
      <c r="D204" s="1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3:20" x14ac:dyDescent="0.25">
      <c r="C205" s="1"/>
      <c r="D205" s="1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3:20" x14ac:dyDescent="0.25">
      <c r="C206" s="1"/>
      <c r="D206" s="1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3:20" x14ac:dyDescent="0.25">
      <c r="C207" s="1"/>
      <c r="D207" s="1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3:20" x14ac:dyDescent="0.25">
      <c r="C208" s="1"/>
      <c r="D208" s="1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3:20" x14ac:dyDescent="0.25">
      <c r="C209" s="1"/>
      <c r="D209" s="1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3:20" x14ac:dyDescent="0.25">
      <c r="C210" s="1"/>
      <c r="D210" s="1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3:20" x14ac:dyDescent="0.25">
      <c r="C211" s="1"/>
      <c r="D211" s="1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3:20" x14ac:dyDescent="0.25">
      <c r="C212" s="1"/>
      <c r="D212" s="1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3:20" x14ac:dyDescent="0.25">
      <c r="C213" s="1"/>
      <c r="D213" s="1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3:20" x14ac:dyDescent="0.25">
      <c r="C214" s="1"/>
      <c r="D214" s="1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3:20" x14ac:dyDescent="0.25">
      <c r="C215" s="1"/>
      <c r="D215" s="1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3:20" x14ac:dyDescent="0.25">
      <c r="C216" s="1"/>
      <c r="D216" s="1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3:20" x14ac:dyDescent="0.25">
      <c r="C217" s="1"/>
      <c r="D217" s="1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3:20" x14ac:dyDescent="0.25">
      <c r="C218" s="1"/>
      <c r="D218" s="1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3:20" x14ac:dyDescent="0.25">
      <c r="C219" s="1"/>
      <c r="D219" s="1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3:20" x14ac:dyDescent="0.25">
      <c r="C220" s="1"/>
      <c r="D220" s="1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3:20" x14ac:dyDescent="0.25">
      <c r="C221" s="1"/>
      <c r="D221" s="1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3:20" x14ac:dyDescent="0.25">
      <c r="C222" s="1"/>
      <c r="D222" s="1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3:20" x14ac:dyDescent="0.25">
      <c r="C223" s="1"/>
      <c r="D223" s="1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3:20" x14ac:dyDescent="0.25">
      <c r="C224" s="1"/>
      <c r="D224" s="1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3:20" x14ac:dyDescent="0.25">
      <c r="C225" s="1"/>
      <c r="D225" s="1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3:20" x14ac:dyDescent="0.25">
      <c r="C226" s="1"/>
      <c r="D226" s="1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3:20" x14ac:dyDescent="0.25">
      <c r="C227" s="1"/>
      <c r="D227" s="1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3:20" x14ac:dyDescent="0.25">
      <c r="C228" s="1"/>
      <c r="D228" s="1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3:20" x14ac:dyDescent="0.25">
      <c r="C229" s="1"/>
      <c r="D229" s="1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3:20" x14ac:dyDescent="0.25">
      <c r="C230" s="1"/>
      <c r="D230" s="1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3:20" x14ac:dyDescent="0.25">
      <c r="C231" s="1"/>
      <c r="D231" s="1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3:20" x14ac:dyDescent="0.25">
      <c r="C232" s="1"/>
      <c r="D232" s="1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3:20" x14ac:dyDescent="0.25">
      <c r="C233" s="1"/>
      <c r="D233" s="1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3:2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3:2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3:2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3:2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3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3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104"/>
  <sheetViews>
    <sheetView topLeftCell="D28" zoomScale="120" zoomScaleNormal="120" workbookViewId="0">
      <selection activeCell="N51" sqref="N51"/>
    </sheetView>
  </sheetViews>
  <sheetFormatPr baseColWidth="10" defaultRowHeight="15" x14ac:dyDescent="0.25"/>
  <cols>
    <col min="3" max="3" width="11.42578125" customWidth="1"/>
    <col min="4" max="4" width="15.42578125" customWidth="1"/>
    <col min="5" max="5" width="15.140625" customWidth="1"/>
    <col min="6" max="6" width="18.7109375" customWidth="1"/>
    <col min="8" max="8" width="13.140625" customWidth="1"/>
    <col min="13" max="13" width="13.5703125" customWidth="1"/>
    <col min="14" max="14" width="13" customWidth="1"/>
    <col min="15" max="15" width="14.7109375" customWidth="1"/>
    <col min="16" max="16" width="14" customWidth="1"/>
    <col min="17" max="17" width="12.7109375" customWidth="1"/>
  </cols>
  <sheetData>
    <row r="5" spans="1:27" x14ac:dyDescent="0.25">
      <c r="I5" t="s">
        <v>37</v>
      </c>
    </row>
    <row r="6" spans="1:27" x14ac:dyDescent="0.25">
      <c r="C6" t="s">
        <v>45</v>
      </c>
    </row>
    <row r="7" spans="1:27" x14ac:dyDescent="0.25">
      <c r="A7" t="s">
        <v>125</v>
      </c>
    </row>
    <row r="8" spans="1:27" x14ac:dyDescent="0.25">
      <c r="A8" s="1">
        <v>4.7</v>
      </c>
      <c r="C8" t="s">
        <v>22</v>
      </c>
      <c r="D8">
        <v>23.6</v>
      </c>
      <c r="E8" s="6" t="s">
        <v>47</v>
      </c>
      <c r="F8" s="1">
        <f>1680*14*3/12</f>
        <v>5880</v>
      </c>
      <c r="G8" s="1" t="s">
        <v>50</v>
      </c>
      <c r="H8" s="1"/>
      <c r="I8" s="1" t="s">
        <v>53</v>
      </c>
      <c r="J8" s="1"/>
      <c r="K8" s="1"/>
      <c r="L8" s="1">
        <f>114800*0.1</f>
        <v>11480</v>
      </c>
      <c r="M8" s="1">
        <f>L8/12</f>
        <v>956.66666666666663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>
        <v>1.55</v>
      </c>
      <c r="C9" t="s">
        <v>23</v>
      </c>
      <c r="D9">
        <v>5.5</v>
      </c>
      <c r="E9" t="s">
        <v>48</v>
      </c>
      <c r="F9" s="1">
        <f>F8*0.3387</f>
        <v>1991.556</v>
      </c>
      <c r="G9" s="1" t="s">
        <v>51</v>
      </c>
      <c r="H9" s="1" t="s">
        <v>52</v>
      </c>
      <c r="I9" s="1" t="s">
        <v>56</v>
      </c>
      <c r="J9" s="1"/>
      <c r="K9" s="1"/>
      <c r="L9" s="1">
        <f>48950*0.1/2</f>
        <v>2447.5</v>
      </c>
      <c r="M9" s="1">
        <f>L9/12</f>
        <v>203.95833333333334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C10" t="s">
        <v>38</v>
      </c>
      <c r="D10">
        <v>0.2</v>
      </c>
      <c r="E10" t="s">
        <v>49</v>
      </c>
      <c r="F10" s="1">
        <f>SUM(F8:F9)</f>
        <v>7871.5560000000005</v>
      </c>
      <c r="G10" s="1">
        <f>Hoja1!C9+Hoja1!C18+Hoja1!C27+Hoja1!C36</f>
        <v>1840</v>
      </c>
      <c r="H10" s="1">
        <f>Hoja1!D9+Hoja1!D18+Hoja1!D27+Hoja1!D36</f>
        <v>1690</v>
      </c>
      <c r="I10" s="1" t="s">
        <v>106</v>
      </c>
      <c r="J10" s="1">
        <f>11950*0.1/12</f>
        <v>99.583333333333329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>
        <v>0.1</v>
      </c>
      <c r="C11" t="s">
        <v>24</v>
      </c>
      <c r="D11">
        <v>0.6</v>
      </c>
      <c r="F11" s="2" t="s">
        <v>91</v>
      </c>
      <c r="G11" s="2">
        <f>F10/G10</f>
        <v>4.2780195652173916</v>
      </c>
      <c r="H11" s="2">
        <f>F10/H10</f>
        <v>4.6577254437869824</v>
      </c>
      <c r="I11" s="1"/>
      <c r="J11" s="1"/>
      <c r="K11" s="1"/>
      <c r="L11" s="1"/>
      <c r="M11" s="1"/>
      <c r="N11" s="1"/>
      <c r="O11" s="1">
        <f>F9</f>
        <v>1991.556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>
        <v>0.13</v>
      </c>
      <c r="C12" t="s">
        <v>25</v>
      </c>
      <c r="D12">
        <v>0.67</v>
      </c>
      <c r="F12" s="1" t="s">
        <v>54</v>
      </c>
      <c r="G12" s="1">
        <f>M8/G10</f>
        <v>0.51992753623188404</v>
      </c>
      <c r="H12" s="1">
        <f>M8/H10</f>
        <v>0.56607495069033531</v>
      </c>
      <c r="I12" s="1"/>
      <c r="J12" s="1"/>
      <c r="K12" s="1"/>
      <c r="L12" s="1"/>
      <c r="M12" s="1"/>
      <c r="N12" s="1"/>
      <c r="O12" s="1">
        <f>M15</f>
        <v>551.82166666666672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>
        <f>A8+A9+A11+A12</f>
        <v>6.4799999999999995</v>
      </c>
      <c r="C13" t="s">
        <v>26</v>
      </c>
      <c r="D13">
        <v>1.8</v>
      </c>
      <c r="F13" s="1" t="s">
        <v>55</v>
      </c>
      <c r="G13" s="1">
        <f>M9/G10</f>
        <v>0.11084692028985507</v>
      </c>
      <c r="H13" s="1">
        <f>M9/H10</f>
        <v>0.1206854043392505</v>
      </c>
      <c r="I13" s="1"/>
      <c r="J13" s="1"/>
      <c r="K13" s="1"/>
      <c r="L13" s="1" t="s">
        <v>97</v>
      </c>
      <c r="M13" s="1"/>
      <c r="N13" s="1"/>
      <c r="O13" s="1">
        <f>O32</f>
        <v>490.64400000000001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C14" t="s">
        <v>27</v>
      </c>
      <c r="D14">
        <v>1.5</v>
      </c>
      <c r="F14" s="1" t="s">
        <v>36</v>
      </c>
      <c r="G14" s="1">
        <f>900/1840</f>
        <v>0.4891304347826087</v>
      </c>
      <c r="H14" s="1">
        <f>900/H10</f>
        <v>0.53254437869822491</v>
      </c>
      <c r="I14" s="1"/>
      <c r="J14" s="1"/>
      <c r="K14" s="1"/>
      <c r="L14" s="1"/>
      <c r="M14" s="1">
        <f>1450*14/12</f>
        <v>1691.6666666666667</v>
      </c>
      <c r="N14" s="1"/>
      <c r="O14" s="1">
        <f>SUM(O11:O13)</f>
        <v>3034.0216666666665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C15" t="s">
        <v>46</v>
      </c>
      <c r="D15">
        <f>SUM(D8:D14)</f>
        <v>33.870000000000005</v>
      </c>
      <c r="F15" s="1" t="s">
        <v>57</v>
      </c>
      <c r="G15" s="1">
        <f>225/G10</f>
        <v>0.12228260869565218</v>
      </c>
      <c r="H15" s="1">
        <f>225/H10</f>
        <v>0.13313609467455623</v>
      </c>
      <c r="I15" s="1"/>
      <c r="J15" s="1"/>
      <c r="K15" s="1"/>
      <c r="L15" s="1" t="s">
        <v>98</v>
      </c>
      <c r="M15" s="1">
        <f>M14*0.3262</f>
        <v>551.82166666666672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F16" s="1" t="s">
        <v>58</v>
      </c>
      <c r="G16" s="1">
        <f>SUM(G11:G15)</f>
        <v>5.5202070652173916</v>
      </c>
      <c r="H16" s="1">
        <f>SUM(H11:H15)</f>
        <v>6.0101662721893501</v>
      </c>
      <c r="I16" s="1"/>
      <c r="J16" s="1"/>
      <c r="K16" s="1"/>
      <c r="L16" s="1">
        <f>D8+D9+D10+D11+D12</f>
        <v>30.570000000000004</v>
      </c>
      <c r="M16" s="2">
        <f>SUM(M14:M15)</f>
        <v>2243.4883333333337</v>
      </c>
      <c r="N16" s="2" t="s">
        <v>46</v>
      </c>
      <c r="O16" s="1">
        <v>476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3:27" x14ac:dyDescent="0.25">
      <c r="F17" s="1"/>
      <c r="G17" s="1"/>
      <c r="H17" s="1"/>
      <c r="I17" s="1"/>
      <c r="J17" s="1"/>
      <c r="K17" s="1" t="s">
        <v>26</v>
      </c>
      <c r="L17" s="1">
        <v>1</v>
      </c>
      <c r="M17" s="1"/>
      <c r="N17" s="1"/>
      <c r="O17" s="1">
        <f>F9</f>
        <v>1991.556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3:27" x14ac:dyDescent="0.25">
      <c r="C18" t="s">
        <v>90</v>
      </c>
      <c r="F18" s="1" t="s">
        <v>59</v>
      </c>
      <c r="G18" s="1"/>
      <c r="H18" s="1"/>
      <c r="I18" s="1" t="s">
        <v>61</v>
      </c>
      <c r="J18" s="1"/>
      <c r="K18" s="1" t="s">
        <v>27</v>
      </c>
      <c r="L18" s="1">
        <v>1.05</v>
      </c>
      <c r="M18" s="1"/>
      <c r="N18" s="1"/>
      <c r="O18" s="1">
        <f>M15</f>
        <v>551.82166666666672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3:27" x14ac:dyDescent="0.25">
      <c r="C19">
        <v>1840</v>
      </c>
      <c r="F19" s="1" t="s">
        <v>15</v>
      </c>
      <c r="G19" s="1">
        <f>G16+33</f>
        <v>38.520207065217392</v>
      </c>
      <c r="H19" s="1">
        <f>33+H16</f>
        <v>39.010166272189352</v>
      </c>
      <c r="I19" s="1">
        <f>H19*1.5</f>
        <v>58.515249408284028</v>
      </c>
      <c r="J19" s="1"/>
      <c r="K19" s="1"/>
      <c r="L19" s="1">
        <f>SUM(L16:L18)</f>
        <v>32.620000000000005</v>
      </c>
      <c r="M19" s="1"/>
      <c r="N19" s="1"/>
      <c r="O19" s="1">
        <f>SUM(O17:O18)</f>
        <v>2543.3776666666668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3:27" x14ac:dyDescent="0.25">
      <c r="C20">
        <v>1690</v>
      </c>
      <c r="F20" s="1" t="s">
        <v>28</v>
      </c>
      <c r="G20" s="1">
        <f>46+G16</f>
        <v>51.520207065217392</v>
      </c>
      <c r="H20" s="1">
        <f>46+H16</f>
        <v>52.010166272189352</v>
      </c>
      <c r="I20" s="1">
        <f t="shared" ref="I20:I21" si="0">H20*1.5</f>
        <v>78.015249408284035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3:27" x14ac:dyDescent="0.25">
      <c r="F21" s="1" t="s">
        <v>60</v>
      </c>
      <c r="G21" s="1">
        <f>36+G16</f>
        <v>41.520207065217392</v>
      </c>
      <c r="H21" s="1">
        <f>36+H16</f>
        <v>42.010166272189352</v>
      </c>
      <c r="I21" s="1">
        <f t="shared" si="0"/>
        <v>63.015249408284028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3:27" x14ac:dyDescent="0.25">
      <c r="F22" s="1" t="s">
        <v>81</v>
      </c>
      <c r="G22" s="1">
        <f>50+G16</f>
        <v>55.520207065217392</v>
      </c>
      <c r="H22" s="1">
        <f>50+H16</f>
        <v>56.010166272189352</v>
      </c>
      <c r="I22" s="1">
        <f>H22*1.5</f>
        <v>84.015249408284035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3:27" x14ac:dyDescent="0.2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3:27" x14ac:dyDescent="0.2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3:27" x14ac:dyDescent="0.25">
      <c r="C25" t="s">
        <v>78</v>
      </c>
      <c r="E25" t="s">
        <v>79</v>
      </c>
      <c r="F25" s="1" t="s">
        <v>80</v>
      </c>
      <c r="G25" s="1" t="s">
        <v>92</v>
      </c>
      <c r="H25" s="1" t="s">
        <v>93</v>
      </c>
      <c r="I25" s="1"/>
      <c r="J25" s="1"/>
      <c r="K25" s="1" t="s">
        <v>114</v>
      </c>
      <c r="L25" s="1"/>
      <c r="M25" s="1"/>
      <c r="N25" s="1">
        <v>476</v>
      </c>
      <c r="O25" s="2" t="s">
        <v>193</v>
      </c>
      <c r="P25" s="2">
        <f>O26+P26</f>
        <v>3034.0216666666665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3:27" x14ac:dyDescent="0.25">
      <c r="D26" t="s">
        <v>15</v>
      </c>
      <c r="E26" s="1">
        <f>450*35</f>
        <v>15750</v>
      </c>
      <c r="F26" s="1">
        <f>500*G19</f>
        <v>19260.103532608697</v>
      </c>
      <c r="G26" s="1">
        <f>F26</f>
        <v>19260.103532608697</v>
      </c>
      <c r="H26" s="1">
        <f>H19*500</f>
        <v>19505.083136094676</v>
      </c>
      <c r="I26" s="1" t="s">
        <v>94</v>
      </c>
      <c r="J26" s="1"/>
      <c r="K26" s="1" t="s">
        <v>115</v>
      </c>
      <c r="L26" s="1">
        <v>16772</v>
      </c>
      <c r="M26" s="1"/>
      <c r="N26" s="1"/>
      <c r="O26" s="2">
        <f>F9+M15</f>
        <v>2543.3776666666668</v>
      </c>
      <c r="P26" s="2">
        <f>O32</f>
        <v>490.64400000000001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3:27" x14ac:dyDescent="0.25">
      <c r="D27" t="s">
        <v>28</v>
      </c>
      <c r="E27" s="1">
        <f>380*48</f>
        <v>18240</v>
      </c>
      <c r="F27" s="1">
        <f>400*G20</f>
        <v>20608.082826086957</v>
      </c>
      <c r="G27" s="1">
        <f>F27</f>
        <v>20608.082826086957</v>
      </c>
      <c r="H27" s="1">
        <f>H20*400</f>
        <v>20804.066508875741</v>
      </c>
      <c r="I27" s="1"/>
      <c r="J27" s="1"/>
      <c r="K27" s="1"/>
      <c r="L27" s="1"/>
      <c r="M27" s="1"/>
      <c r="N27" s="1"/>
      <c r="O27" s="2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3:27" x14ac:dyDescent="0.25">
      <c r="D28" t="s">
        <v>60</v>
      </c>
      <c r="E28" s="1">
        <f>420*38</f>
        <v>15960</v>
      </c>
      <c r="F28" s="1">
        <f>480*G21</f>
        <v>19929.699391304348</v>
      </c>
      <c r="G28" s="1">
        <f>F28</f>
        <v>19929.699391304348</v>
      </c>
      <c r="H28" s="1">
        <f>480*H21</f>
        <v>20164.879810650888</v>
      </c>
      <c r="I28" s="1"/>
      <c r="J28" s="1"/>
      <c r="K28" s="1" t="s">
        <v>122</v>
      </c>
      <c r="L28" s="1">
        <f>O33</f>
        <v>5945.2726666666667</v>
      </c>
      <c r="M28" s="1"/>
      <c r="N28" s="1">
        <f>1680*14/12</f>
        <v>1960</v>
      </c>
      <c r="O28" s="1">
        <f>N28*3</f>
        <v>5880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3:27" x14ac:dyDescent="0.25">
      <c r="D29" t="s">
        <v>81</v>
      </c>
      <c r="E29" s="1">
        <f>290*52</f>
        <v>15080</v>
      </c>
      <c r="F29" s="1">
        <f>310*G22</f>
        <v>17211.264190217393</v>
      </c>
      <c r="G29" s="1">
        <f>F29</f>
        <v>17211.264190217393</v>
      </c>
      <c r="H29" s="1">
        <f>310*H22</f>
        <v>17363.151544378699</v>
      </c>
      <c r="I29" s="1"/>
      <c r="J29" s="1"/>
      <c r="K29" s="1"/>
      <c r="L29" s="1"/>
      <c r="M29" s="1"/>
      <c r="N29" s="1">
        <f>1450*14/12</f>
        <v>1691.6666666666667</v>
      </c>
      <c r="O29" s="1">
        <f>N29</f>
        <v>1691.6666666666667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3:27" x14ac:dyDescent="0.25">
      <c r="D30" t="s">
        <v>46</v>
      </c>
      <c r="E30" s="1">
        <f>SUM(E26:E29)</f>
        <v>65030</v>
      </c>
      <c r="F30" s="1">
        <f>SUM(F26:F29)</f>
        <v>77009.149940217394</v>
      </c>
      <c r="G30" s="1">
        <f>SUM(G26:G29)</f>
        <v>77009.149940217394</v>
      </c>
      <c r="H30" s="1">
        <f>SUM(H26:H29)</f>
        <v>77837.181000000011</v>
      </c>
      <c r="I30" s="1"/>
      <c r="J30" s="1"/>
      <c r="K30" s="1"/>
      <c r="L30" s="1"/>
      <c r="M30" s="1"/>
      <c r="N30" s="1"/>
      <c r="O30" s="2">
        <f>SUM(O28:O29)</f>
        <v>7571.666666666667</v>
      </c>
      <c r="P30" s="1" t="s">
        <v>195</v>
      </c>
      <c r="Q30" s="1">
        <f>900*0.19</f>
        <v>171</v>
      </c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3:27" x14ac:dyDescent="0.25">
      <c r="E31" s="1"/>
      <c r="F31" s="1"/>
      <c r="G31" s="1"/>
      <c r="H31" s="1"/>
      <c r="I31" s="1"/>
      <c r="J31" s="1"/>
      <c r="K31" s="1" t="s">
        <v>128</v>
      </c>
      <c r="L31" s="1"/>
      <c r="M31" s="1"/>
      <c r="N31" s="2" t="s">
        <v>123</v>
      </c>
      <c r="O31" s="2">
        <f>O30*0.15</f>
        <v>1135.75</v>
      </c>
      <c r="P31" s="1">
        <f>O31*3</f>
        <v>3407.25</v>
      </c>
      <c r="Q31" s="1">
        <f>Q30*3</f>
        <v>513</v>
      </c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3:27" x14ac:dyDescent="0.25">
      <c r="E32" s="1"/>
      <c r="F32" s="1"/>
      <c r="G32" s="1"/>
      <c r="H32" s="1"/>
      <c r="I32" s="1"/>
      <c r="J32" s="1"/>
      <c r="K32" s="1">
        <f>F9+O32</f>
        <v>2482.1999999999998</v>
      </c>
      <c r="L32" s="1"/>
      <c r="M32" s="1"/>
      <c r="N32" s="2" t="s">
        <v>124</v>
      </c>
      <c r="O32" s="2">
        <f>O30*0.0648</f>
        <v>490.64400000000001</v>
      </c>
      <c r="P32" s="1">
        <f>P31+513</f>
        <v>3920.25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x14ac:dyDescent="0.25">
      <c r="E33" s="1"/>
      <c r="F33" s="1"/>
      <c r="G33" s="1"/>
      <c r="H33" s="1"/>
      <c r="I33" s="1"/>
      <c r="J33" s="1"/>
      <c r="K33" s="1" t="s">
        <v>36</v>
      </c>
      <c r="L33" s="1">
        <v>900</v>
      </c>
      <c r="M33" s="1"/>
      <c r="N33" s="2" t="s">
        <v>126</v>
      </c>
      <c r="O33" s="2">
        <f>O30-O31-O32</f>
        <v>5945.2726666666667</v>
      </c>
      <c r="P33" s="1" t="s">
        <v>135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x14ac:dyDescent="0.25">
      <c r="E34" s="1"/>
      <c r="F34" s="1"/>
      <c r="G34" s="1"/>
      <c r="H34" s="1"/>
      <c r="I34" s="1"/>
      <c r="J34" s="1"/>
      <c r="K34" s="1" t="s">
        <v>76</v>
      </c>
      <c r="L34" s="1">
        <f>900*0.21</f>
        <v>189</v>
      </c>
      <c r="M34" s="1"/>
      <c r="N34" s="1"/>
      <c r="O34" s="1"/>
      <c r="P34" s="1">
        <v>116763.8</v>
      </c>
      <c r="Q34" s="1">
        <f>P34*0.21</f>
        <v>24520.398000000001</v>
      </c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x14ac:dyDescent="0.25">
      <c r="E35" s="1"/>
      <c r="F35" s="1"/>
      <c r="G35" s="1"/>
      <c r="H35" s="1"/>
      <c r="I35" s="1"/>
      <c r="J35" s="1"/>
      <c r="K35" s="1" t="s">
        <v>130</v>
      </c>
      <c r="L35" s="1">
        <f>900*0.19</f>
        <v>171</v>
      </c>
      <c r="M35" s="1" t="s">
        <v>134</v>
      </c>
      <c r="N35" s="1"/>
      <c r="O35" s="1"/>
      <c r="P35" s="1">
        <f>P34*3</f>
        <v>350291.4</v>
      </c>
      <c r="Q35" s="1">
        <f>P35*0.21</f>
        <v>73561.194000000003</v>
      </c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x14ac:dyDescent="0.25">
      <c r="E36" s="1"/>
      <c r="F36" s="1"/>
      <c r="G36" s="1"/>
      <c r="H36" s="1"/>
      <c r="I36" s="1"/>
      <c r="J36" s="1"/>
      <c r="K36" s="1" t="s">
        <v>131</v>
      </c>
      <c r="L36" s="1">
        <f>L33+L34-L35</f>
        <v>918</v>
      </c>
      <c r="M36" s="1" t="s">
        <v>136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x14ac:dyDescent="0.25">
      <c r="E37" s="1"/>
      <c r="F37" s="1"/>
      <c r="G37" s="1"/>
      <c r="H37" s="1"/>
      <c r="I37" s="1"/>
      <c r="J37" s="1"/>
      <c r="K37" s="1"/>
      <c r="L37" s="1"/>
      <c r="M37" s="1" t="s">
        <v>85</v>
      </c>
      <c r="N37" s="1">
        <f>Hoja1!C71</f>
        <v>73410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25">
      <c r="E38" s="1"/>
      <c r="F38" s="1"/>
      <c r="G38" s="1"/>
      <c r="H38" s="1"/>
      <c r="I38" s="1"/>
      <c r="J38" s="1"/>
      <c r="K38" s="1"/>
      <c r="L38" s="1"/>
      <c r="M38" s="1"/>
      <c r="N38" s="1">
        <f>Hoja1!D71</f>
        <v>67680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x14ac:dyDescent="0.25">
      <c r="E39" s="1"/>
      <c r="F39" s="1"/>
      <c r="G39" s="1"/>
      <c r="H39" s="1"/>
      <c r="I39" s="1"/>
      <c r="J39" s="1"/>
      <c r="K39" s="1"/>
      <c r="L39" s="1"/>
      <c r="M39" s="1"/>
      <c r="N39" s="1">
        <f>N38</f>
        <v>67680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25">
      <c r="E40" s="1"/>
      <c r="F40" s="1"/>
      <c r="G40" s="1"/>
      <c r="H40" s="1"/>
      <c r="I40" s="1"/>
      <c r="J40" s="1"/>
      <c r="K40" s="1"/>
      <c r="L40" s="1"/>
      <c r="M40" s="1" t="s">
        <v>46</v>
      </c>
      <c r="N40" s="1">
        <f>SUM(N37:N39)</f>
        <v>208770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x14ac:dyDescent="0.25">
      <c r="E41" s="1"/>
      <c r="F41" s="1"/>
      <c r="G41" s="1"/>
      <c r="H41" s="1"/>
      <c r="I41" s="1"/>
      <c r="J41" s="1"/>
      <c r="K41" s="1"/>
      <c r="L41" s="1"/>
      <c r="M41" s="1" t="s">
        <v>137</v>
      </c>
      <c r="N41" s="1">
        <f>N40*0.21</f>
        <v>43841.7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x14ac:dyDescent="0.25">
      <c r="B44" t="s">
        <v>138</v>
      </c>
      <c r="D44" t="s">
        <v>139</v>
      </c>
      <c r="E44" s="1" t="s">
        <v>202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x14ac:dyDescent="0.25">
      <c r="E45" s="1">
        <f>Hoja1!C68</f>
        <v>116763.8</v>
      </c>
      <c r="F45" s="1">
        <f>E45*0.21</f>
        <v>24520.398000000001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x14ac:dyDescent="0.25">
      <c r="C46" t="s">
        <v>85</v>
      </c>
      <c r="D46" s="1"/>
      <c r="E46" s="1">
        <v>208770</v>
      </c>
      <c r="F46" s="1">
        <f>F45*3</f>
        <v>73561.194000000003</v>
      </c>
      <c r="G46" s="1"/>
      <c r="H46" s="1" t="s">
        <v>144</v>
      </c>
      <c r="I46" s="1"/>
      <c r="J46" s="1"/>
      <c r="K46" s="1"/>
      <c r="L46" s="1" t="s">
        <v>149</v>
      </c>
      <c r="M46" s="1"/>
      <c r="N46" s="1"/>
      <c r="O46" s="1"/>
      <c r="P46" s="1" t="s">
        <v>152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x14ac:dyDescent="0.25">
      <c r="C47" t="s">
        <v>36</v>
      </c>
      <c r="D47" s="1">
        <v>900</v>
      </c>
      <c r="E47" s="1">
        <f>D47*3</f>
        <v>2700</v>
      </c>
      <c r="F47" s="1"/>
      <c r="G47" s="1" t="s">
        <v>145</v>
      </c>
      <c r="H47" s="1">
        <f>P35</f>
        <v>350291.4</v>
      </c>
      <c r="I47" s="1">
        <f>H47*0.21</f>
        <v>73561.194000000003</v>
      </c>
      <c r="J47" s="1"/>
      <c r="K47" s="1"/>
      <c r="L47" s="1" t="s">
        <v>145</v>
      </c>
      <c r="M47" s="1">
        <f>H47</f>
        <v>350291.4</v>
      </c>
      <c r="N47" s="1">
        <f>M47*0.21</f>
        <v>73561.194000000003</v>
      </c>
      <c r="O47" s="1"/>
      <c r="P47" s="1"/>
      <c r="Q47" s="2" t="s">
        <v>150</v>
      </c>
      <c r="R47" s="2">
        <f>I51</f>
        <v>29587.194000000003</v>
      </c>
      <c r="S47" s="1" t="s">
        <v>129</v>
      </c>
      <c r="T47" s="1"/>
      <c r="U47" s="1"/>
      <c r="V47" s="1"/>
      <c r="W47" s="1"/>
      <c r="X47" s="1"/>
      <c r="Y47" s="1"/>
      <c r="Z47" s="1"/>
      <c r="AA47" s="1"/>
    </row>
    <row r="48" spans="2:27" x14ac:dyDescent="0.25">
      <c r="C48" t="s">
        <v>100</v>
      </c>
      <c r="D48" s="1">
        <v>350</v>
      </c>
      <c r="E48" s="1">
        <f>350*3</f>
        <v>1050</v>
      </c>
      <c r="F48" s="1"/>
      <c r="G48" s="1" t="s">
        <v>85</v>
      </c>
      <c r="H48" s="1">
        <f>N38*3</f>
        <v>203040</v>
      </c>
      <c r="I48" s="1">
        <f>H48*0.21</f>
        <v>42638.400000000001</v>
      </c>
      <c r="J48" s="1"/>
      <c r="K48" s="1"/>
      <c r="L48" s="1" t="s">
        <v>85</v>
      </c>
      <c r="M48" s="1">
        <f>H48</f>
        <v>203040</v>
      </c>
      <c r="N48" s="1">
        <f>M48*0.21</f>
        <v>42638.400000000001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3:27" x14ac:dyDescent="0.25">
      <c r="C49" t="s">
        <v>140</v>
      </c>
      <c r="D49" s="1">
        <v>450</v>
      </c>
      <c r="E49" s="1">
        <f>D49*3</f>
        <v>1350</v>
      </c>
      <c r="F49" s="1"/>
      <c r="G49" s="1"/>
      <c r="H49" s="1">
        <f>D47*3</f>
        <v>2700</v>
      </c>
      <c r="I49" s="1">
        <f>H53*0.21</f>
        <v>1335.6</v>
      </c>
      <c r="J49" s="1"/>
      <c r="K49" s="1"/>
      <c r="L49" s="1"/>
      <c r="M49" s="1">
        <f>D47*3</f>
        <v>2700</v>
      </c>
      <c r="N49" s="1">
        <f>M54*0.21</f>
        <v>1430.1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3:27" x14ac:dyDescent="0.25">
      <c r="C50" t="s">
        <v>141</v>
      </c>
      <c r="D50" s="1">
        <v>420</v>
      </c>
      <c r="E50" s="1">
        <f>420*3</f>
        <v>1260</v>
      </c>
      <c r="F50" s="1"/>
      <c r="G50" s="1"/>
      <c r="H50" s="1">
        <f>D48*3</f>
        <v>1050</v>
      </c>
      <c r="I50" s="1">
        <f>SUM(I48:I49)</f>
        <v>43974</v>
      </c>
      <c r="J50" s="1" t="s">
        <v>147</v>
      </c>
      <c r="K50" s="1"/>
      <c r="L50" s="1"/>
      <c r="M50" s="1">
        <f>D48*3</f>
        <v>1050</v>
      </c>
      <c r="N50" s="2">
        <f>SUM(N48:N49)</f>
        <v>44068.5</v>
      </c>
      <c r="O50" s="2">
        <f>N47-N50</f>
        <v>29492.694000000003</v>
      </c>
      <c r="P50" s="1" t="s">
        <v>201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3:27" x14ac:dyDescent="0.25">
      <c r="C51" t="s">
        <v>142</v>
      </c>
      <c r="D51" s="1">
        <v>750</v>
      </c>
      <c r="E51" s="1">
        <v>750</v>
      </c>
      <c r="F51" s="1"/>
      <c r="G51" s="1"/>
      <c r="H51" s="1">
        <f>D49*3</f>
        <v>1350</v>
      </c>
      <c r="I51" s="2">
        <f>I47-I50</f>
        <v>29587.194000000003</v>
      </c>
      <c r="J51" s="2" t="s">
        <v>148</v>
      </c>
      <c r="K51" s="2"/>
      <c r="L51" s="1"/>
      <c r="M51" s="1">
        <f>D49*3</f>
        <v>1350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3:27" x14ac:dyDescent="0.25">
      <c r="D52" s="1" t="s">
        <v>46</v>
      </c>
      <c r="E52" s="1">
        <f>SUM(E46:E51)</f>
        <v>215880</v>
      </c>
      <c r="F52" s="1"/>
      <c r="G52" s="1"/>
      <c r="H52" s="1">
        <f>D50*3</f>
        <v>1260</v>
      </c>
      <c r="I52" s="1"/>
      <c r="J52" s="1"/>
      <c r="K52" s="1"/>
      <c r="L52" s="1"/>
      <c r="M52" s="1">
        <f>D50*3</f>
        <v>1260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3:27" x14ac:dyDescent="0.25">
      <c r="D53" s="1" t="s">
        <v>76</v>
      </c>
      <c r="E53" s="1">
        <f>E52*0.21</f>
        <v>45334.799999999996</v>
      </c>
      <c r="F53" s="1"/>
      <c r="G53" s="1" t="s">
        <v>146</v>
      </c>
      <c r="H53" s="1">
        <f>SUM(H49:H52)</f>
        <v>6360</v>
      </c>
      <c r="I53" s="1"/>
      <c r="J53" s="1"/>
      <c r="K53" s="1"/>
      <c r="L53" s="1" t="s">
        <v>151</v>
      </c>
      <c r="M53" s="1">
        <f>1200-750</f>
        <v>450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3:27" x14ac:dyDescent="0.25">
      <c r="D54" s="1"/>
      <c r="E54" s="1"/>
      <c r="F54" s="1"/>
      <c r="G54" s="1"/>
      <c r="H54" s="1"/>
      <c r="I54" s="1"/>
      <c r="J54" s="1"/>
      <c r="K54" s="1"/>
      <c r="L54" s="1"/>
      <c r="M54" s="1">
        <f>SUM(M49:M53)</f>
        <v>6810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3:27" x14ac:dyDescent="0.25">
      <c r="D55" s="2" t="s">
        <v>112</v>
      </c>
      <c r="E55" s="2">
        <f>F46-E53</f>
        <v>28226.394000000008</v>
      </c>
      <c r="F55" s="2" t="s">
        <v>143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3:27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3:27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3:27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3:27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3:27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3:27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3:27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3:27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3:27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4:27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4:27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4:27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4:27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4:27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4:27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4:27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4:27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4:27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4:27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4:27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4:27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4:27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4:27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4:27" x14ac:dyDescent="0.2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4:27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4:27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4:27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4:27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4:27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4:27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4:27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4:27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4:27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4:27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4:27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4:27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4:27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4:27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4:27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4:27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4:27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4:27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4:27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4:27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4:27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4:27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4:27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4:27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4:27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ALVAREZ VIVIAN</dc:creator>
  <cp:lastModifiedBy>MARIA JOSE ALVAREZ VIVIAN</cp:lastModifiedBy>
  <dcterms:created xsi:type="dcterms:W3CDTF">2025-10-23T16:58:34Z</dcterms:created>
  <dcterms:modified xsi:type="dcterms:W3CDTF">2025-11-26T18:06:32Z</dcterms:modified>
</cp:coreProperties>
</file>