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ción General" sheetId="1" r:id="rId4"/>
    <sheet state="visible" name="Inversiones" sheetId="2" r:id="rId5"/>
    <sheet state="visible" name="Financiación" sheetId="3" r:id="rId6"/>
    <sheet state="visible" name="Ingresos" sheetId="4" r:id="rId7"/>
    <sheet state="visible" name="Gastos" sheetId="5" r:id="rId8"/>
    <sheet state="visible" name="PG" sheetId="6" r:id="rId9"/>
    <sheet state="visible" name="BS" sheetId="7" r:id="rId10"/>
    <sheet state="visible" name="Tesorería" sheetId="8" r:id="rId11"/>
  </sheets>
  <definedNames/>
  <calcPr/>
</workbook>
</file>

<file path=xl/sharedStrings.xml><?xml version="1.0" encoding="utf-8"?>
<sst xmlns="http://schemas.openxmlformats.org/spreadsheetml/2006/main" count="284" uniqueCount="158">
  <si>
    <t>HOJAS DE DATOS 
(completar todos los datos antes de ver resultados)</t>
  </si>
  <si>
    <t>Introducir el importe de las inversiones iniciales y las necesarias durante cada año para el funcionamiento adecuado de la empresa.</t>
  </si>
  <si>
    <t>INVERSIONES</t>
  </si>
  <si>
    <t>Introducir la financiación inicial (que ha de ser igual a las inversiones iniciales) y la necesarias para los ejercicios siguientes</t>
  </si>
  <si>
    <t>FINANCIACIÓN</t>
  </si>
  <si>
    <t>Previsiones de número del unidades de productos o servicios a vender y a comprar, con sus precios medios, para calcular las cifras de ventas y aprovisionamiento.</t>
  </si>
  <si>
    <t>INGRESOS</t>
  </si>
  <si>
    <t xml:space="preserve">Gastos de personal, alquileres, comerciales y servicios previstos </t>
  </si>
  <si>
    <t>GASTOS</t>
  </si>
  <si>
    <t>HOJAS DE RESULTADOS</t>
  </si>
  <si>
    <t>Genera la cuenta de resultados previsional.  En esta hoja también se introducen los porcentajes de impuestos y beneficios a distribuir.</t>
  </si>
  <si>
    <t>RESULTADOS</t>
  </si>
  <si>
    <t>Calcula la situación de la tesorería a final de cada ejercicio. A partir del resultado, sumando y restando los cobros y pagos por operaciones de inversión y financiación.</t>
  </si>
  <si>
    <t>TESORERÍA</t>
  </si>
  <si>
    <t>Balance inicial y al final de cada año completo de actividad</t>
  </si>
  <si>
    <t>BALANCE</t>
  </si>
  <si>
    <t>INICIO ACTIVIDAD</t>
  </si>
  <si>
    <t>AÑO 1</t>
  </si>
  <si>
    <t>AÑO 2</t>
  </si>
  <si>
    <t>AÑO 3</t>
  </si>
  <si>
    <t>AÑO 4</t>
  </si>
  <si>
    <t>AÑO 5</t>
  </si>
  <si>
    <t>VIDA ÚTIL</t>
  </si>
  <si>
    <t xml:space="preserve"> (%) Amort</t>
  </si>
  <si>
    <t>ACTIVO NO CORRIENTE (A)</t>
  </si>
  <si>
    <t>Maquinaria</t>
  </si>
  <si>
    <t>Mobiliario</t>
  </si>
  <si>
    <t>Acondicionamiento del local</t>
  </si>
  <si>
    <t>Equipos informáticos</t>
  </si>
  <si>
    <t>Intangibles</t>
  </si>
  <si>
    <t>TOTAL NO CORRIENTE</t>
  </si>
  <si>
    <t>ACTIVO CORRIENTE (B)</t>
  </si>
  <si>
    <t>Existencias iniciales</t>
  </si>
  <si>
    <t>Tesorería (Caja Bancos)</t>
  </si>
  <si>
    <t>TOTAL CORRIENTE</t>
  </si>
  <si>
    <t>TOTAL INVERSIÓN (A + B)</t>
  </si>
  <si>
    <t>CÁLCULOS INTERMEDIOS</t>
  </si>
  <si>
    <t>TOTAL ACTIVO NO CORRIENTE</t>
  </si>
  <si>
    <t>INICIO</t>
  </si>
  <si>
    <t>TOTAL</t>
  </si>
  <si>
    <t>DOTACIÓN AMORTIZACIONES</t>
  </si>
  <si>
    <t>AMORTIZACIÓN ACUMULADA</t>
  </si>
  <si>
    <t>RECURSOS PROPIOS</t>
  </si>
  <si>
    <t>PRESTAMOS</t>
  </si>
  <si>
    <t>Condiciones</t>
  </si>
  <si>
    <t>Tipo de interés</t>
  </si>
  <si>
    <t>Años</t>
  </si>
  <si>
    <t>TOTAL FINANCIACIÓN</t>
  </si>
  <si>
    <t>COMPARACIÓN</t>
  </si>
  <si>
    <t>INVERSIÓN</t>
  </si>
  <si>
    <t>CAPITAL VIVO</t>
  </si>
  <si>
    <t>AÑO O</t>
  </si>
  <si>
    <t>Préstamos año0</t>
  </si>
  <si>
    <t>Préstamos año1</t>
  </si>
  <si>
    <t>Préstamos año2</t>
  </si>
  <si>
    <t>Préstamos año3</t>
  </si>
  <si>
    <t>Préstamos año4</t>
  </si>
  <si>
    <t>Préstamos año5</t>
  </si>
  <si>
    <t>TOTAL Préstamos</t>
  </si>
  <si>
    <t>GASTOS FINANCIEROS</t>
  </si>
  <si>
    <t>DEVOLUCIÓN PRESTAMOS</t>
  </si>
  <si>
    <t>VENTAS / INGRESOS</t>
  </si>
  <si>
    <t>Modelo A</t>
  </si>
  <si>
    <t>unidades</t>
  </si>
  <si>
    <t>precio</t>
  </si>
  <si>
    <t>ingresos</t>
  </si>
  <si>
    <t>Modelo B</t>
  </si>
  <si>
    <t>Reparaciones y Mantenimiento</t>
  </si>
  <si>
    <t>TOTAL INGRESOS</t>
  </si>
  <si>
    <t>Periodo medio de cobro (días)</t>
  </si>
  <si>
    <t>Crédito a clientes</t>
  </si>
  <si>
    <t>COMPRAS /SUMINISTROS</t>
  </si>
  <si>
    <t>costes</t>
  </si>
  <si>
    <t>Piezas</t>
  </si>
  <si>
    <t>Materiales</t>
  </si>
  <si>
    <t>TOTAL COSTES</t>
  </si>
  <si>
    <t>Crédito de proveedores (días)</t>
  </si>
  <si>
    <t>Crédito de proveedores</t>
  </si>
  <si>
    <t>VALORACIÓN DE EXISTENCIAS</t>
  </si>
  <si>
    <t>TOTAL EN EXISTENCIAS</t>
  </si>
  <si>
    <t>VARIACIÓN DE EXISTENCIAS</t>
  </si>
  <si>
    <t>PERSONAL</t>
  </si>
  <si>
    <t>DATOS</t>
  </si>
  <si>
    <t>Salario medio mensual</t>
  </si>
  <si>
    <t>Incremento salarial anual</t>
  </si>
  <si>
    <t>Nº de empleados año 1</t>
  </si>
  <si>
    <t>Nº de empleados año 2</t>
  </si>
  <si>
    <t>Nº de empleados año 3</t>
  </si>
  <si>
    <t>Nº de empleados año 4</t>
  </si>
  <si>
    <t>Nº de empleados año 5</t>
  </si>
  <si>
    <t>Total gastos de personal</t>
  </si>
  <si>
    <t>ALQUILER</t>
  </si>
  <si>
    <t>Alquiler mensual</t>
  </si>
  <si>
    <t>Subida anual prevista en %</t>
  </si>
  <si>
    <t>COMERCIALIZACIÓN</t>
  </si>
  <si>
    <t>Gastos mensuales</t>
  </si>
  <si>
    <t>OTROS GASTOS</t>
  </si>
  <si>
    <t>Electricidad</t>
  </si>
  <si>
    <t>Teléfono</t>
  </si>
  <si>
    <t>Material de Oficina</t>
  </si>
  <si>
    <t>Limpieza</t>
  </si>
  <si>
    <t>Seguros</t>
  </si>
  <si>
    <t>Subida media anual en %</t>
  </si>
  <si>
    <t>TOTAL GASTOS</t>
  </si>
  <si>
    <t>Impuesto sobre beneficios</t>
  </si>
  <si>
    <t>Distribución de beneficios</t>
  </si>
  <si>
    <t>CUENTA DE RESULTADOS</t>
  </si>
  <si>
    <t>Ventas</t>
  </si>
  <si>
    <t>Aprovisionamiento</t>
  </si>
  <si>
    <t>Variación de existencias</t>
  </si>
  <si>
    <t>Margen de contribución</t>
  </si>
  <si>
    <t>Gastos de personal</t>
  </si>
  <si>
    <t>Alquileres</t>
  </si>
  <si>
    <t>Comercialización</t>
  </si>
  <si>
    <t>Otros gastos</t>
  </si>
  <si>
    <t>EBITDA</t>
  </si>
  <si>
    <t>Amortizaciones</t>
  </si>
  <si>
    <t>EBIT</t>
  </si>
  <si>
    <t>Gastos financieros</t>
  </si>
  <si>
    <t>BAI</t>
  </si>
  <si>
    <t>Resultado</t>
  </si>
  <si>
    <t>DISTRIBUCIÓN DE BENEFICIOS</t>
  </si>
  <si>
    <t>DIVIDENDO</t>
  </si>
  <si>
    <t>RESERVAS</t>
  </si>
  <si>
    <t>BALANCE PREVISIONAL</t>
  </si>
  <si>
    <t>Año 1</t>
  </si>
  <si>
    <t>Año 2</t>
  </si>
  <si>
    <t>Año 3</t>
  </si>
  <si>
    <t>Año 4</t>
  </si>
  <si>
    <t>Año 5</t>
  </si>
  <si>
    <t>ACTIVO</t>
  </si>
  <si>
    <t>Inmovilizado</t>
  </si>
  <si>
    <t>Existencias</t>
  </si>
  <si>
    <t>Clientes</t>
  </si>
  <si>
    <t>Tesorería</t>
  </si>
  <si>
    <t>TOTAL ACTIVO CORRIENTE</t>
  </si>
  <si>
    <t>TOTAL ACTIVO</t>
  </si>
  <si>
    <t>PASIVO</t>
  </si>
  <si>
    <t>Recursos propios</t>
  </si>
  <si>
    <t>Reservas</t>
  </si>
  <si>
    <t>Resultados negativos</t>
  </si>
  <si>
    <t xml:space="preserve">Prestamos </t>
  </si>
  <si>
    <t>Proveedores</t>
  </si>
  <si>
    <t>Tesorería negativa</t>
  </si>
  <si>
    <t>TOTAL PASIVO</t>
  </si>
  <si>
    <t>TESORERÍA AL FINAL DE CADA AÑO</t>
  </si>
  <si>
    <t>Saldo inicial</t>
  </si>
  <si>
    <t xml:space="preserve"> + Beneficio</t>
  </si>
  <si>
    <t xml:space="preserve"> + Amortizaciones</t>
  </si>
  <si>
    <t xml:space="preserve"> + Prestamos obtenidos</t>
  </si>
  <si>
    <t xml:space="preserve"> + Ampliaciones de capital</t>
  </si>
  <si>
    <t xml:space="preserve"> + Crédito de proveedores</t>
  </si>
  <si>
    <t xml:space="preserve"> - Crédito a clientes</t>
  </si>
  <si>
    <t xml:space="preserve"> - Dividendos</t>
  </si>
  <si>
    <t xml:space="preserve"> - Devoluciones de préstamos</t>
  </si>
  <si>
    <t xml:space="preserve"> - Inversiones</t>
  </si>
  <si>
    <t xml:space="preserve"> - Existencias</t>
  </si>
  <si>
    <t>Saldo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</si>
</sst>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0.0"/>
      <color rgb="FF000000"/>
      <name val="Arial"/>
      <scheme val="minor"/>
    </font>
    <font>
      <color theme="1"/>
      <name val="Arial"/>
    </font>
    <font>
      <b/>
      <sz val="9.0"/>
      <color theme="1"/>
      <name val="Verdana"/>
    </font>
    <font>
      <sz val="9.0"/>
      <color theme="1"/>
      <name val="Verdana"/>
    </font>
    <font/>
    <font>
      <b/>
      <sz val="9.0"/>
      <color rgb="FF0000FF"/>
      <name val="Verdana"/>
    </font>
    <font>
      <b/>
      <sz val="9.0"/>
      <color rgb="FFFFFFFF"/>
      <name val="Verdana"/>
    </font>
    <font>
      <b/>
      <sz val="12.0"/>
      <color theme="1"/>
      <name val="Arial Narrow"/>
    </font>
    <font>
      <b/>
      <color theme="1"/>
      <name val="Arial Narrow"/>
    </font>
    <font>
      <b/>
      <sz val="9.0"/>
      <color theme="1"/>
      <name val="Arial Narrow"/>
    </font>
    <font>
      <color theme="1"/>
      <name val="Arial Narrow"/>
    </font>
    <font>
      <b/>
      <sz val="11.0"/>
      <color theme="1"/>
      <name val="Arial Narrow"/>
    </font>
    <font>
      <b/>
      <sz val="12.0"/>
      <color rgb="FF0000FF"/>
      <name val="Georgia"/>
    </font>
    <font>
      <b/>
      <color theme="1"/>
      <name val="Georgia"/>
    </font>
    <font>
      <color theme="1"/>
      <name val="Georgia"/>
    </font>
    <font>
      <color rgb="FFFFFFFF"/>
      <name val="Georgia"/>
    </font>
    <font>
      <b/>
      <sz val="11.0"/>
      <color rgb="FF0000FF"/>
      <name val="Georgia"/>
    </font>
    <font>
      <b/>
      <sz val="11.0"/>
      <color theme="1"/>
      <name val="Georgia"/>
    </font>
    <font>
      <color rgb="FFFF0000"/>
      <name val="Georgia"/>
    </font>
    <font>
      <b/>
      <color rgb="FFFF0000"/>
      <name val="Georgia"/>
    </font>
    <font>
      <b/>
      <color rgb="FF0000FF"/>
      <name val="Georgia"/>
    </font>
    <font>
      <b/>
      <sz val="11.0"/>
      <color rgb="FF0000FF"/>
      <name val="Arial"/>
    </font>
    <font>
      <b/>
      <color theme="1"/>
      <name val="Arial"/>
    </font>
    <font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Font="1"/>
    <xf borderId="1" fillId="2" fontId="2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vertical="bottom"/>
    </xf>
    <xf borderId="3" fillId="0" fontId="3" numFmtId="0" xfId="0" applyAlignment="1" applyBorder="1" applyFont="1">
      <alignment shrinkToFit="0" vertical="center" wrapText="1"/>
    </xf>
    <xf borderId="4" fillId="0" fontId="4" numFmtId="0" xfId="0" applyBorder="1" applyFont="1"/>
    <xf borderId="5" fillId="2" fontId="2" numFmtId="0" xfId="0" applyAlignment="1" applyBorder="1" applyFont="1">
      <alignment horizontal="center" shrinkToFit="0" wrapText="0"/>
    </xf>
    <xf borderId="6" fillId="0" fontId="4" numFmtId="0" xfId="0" applyBorder="1" applyFont="1"/>
    <xf borderId="5" fillId="2" fontId="1" numFmtId="0" xfId="0" applyAlignment="1" applyBorder="1" applyFont="1">
      <alignment vertical="bottom"/>
    </xf>
    <xf borderId="6" fillId="0" fontId="3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vertical="bottom"/>
    </xf>
    <xf borderId="8" fillId="0" fontId="4" numFmtId="0" xfId="0" applyBorder="1" applyFont="1"/>
    <xf borderId="9" fillId="2" fontId="1" numFmtId="0" xfId="0" applyAlignment="1" applyBorder="1" applyFont="1">
      <alignment vertical="bottom"/>
    </xf>
    <xf borderId="10" fillId="0" fontId="4" numFmtId="0" xfId="0" applyBorder="1" applyFont="1"/>
    <xf borderId="11" fillId="2" fontId="2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shrinkToFit="0" wrapText="0"/>
    </xf>
    <xf borderId="7" fillId="0" fontId="4" numFmtId="0" xfId="0" applyBorder="1" applyFont="1"/>
    <xf borderId="12" fillId="0" fontId="4" numFmtId="0" xfId="0" applyBorder="1" applyFont="1"/>
    <xf borderId="9" fillId="2" fontId="2" numFmtId="0" xfId="0" applyAlignment="1" applyBorder="1" applyFont="1">
      <alignment horizontal="center" shrinkToFit="0" wrapText="0"/>
    </xf>
    <xf borderId="0" fillId="0" fontId="5" numFmtId="0" xfId="0" applyAlignment="1" applyFont="1">
      <alignment horizontal="center" shrinkToFit="0" wrapText="0"/>
    </xf>
    <xf borderId="0" fillId="0" fontId="2" numFmtId="4" xfId="0" applyAlignment="1" applyFont="1" applyNumberFormat="1">
      <alignment horizontal="center"/>
    </xf>
    <xf borderId="0" fillId="0" fontId="6" numFmtId="4" xfId="0" applyAlignment="1" applyFont="1" applyNumberFormat="1">
      <alignment horizont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shrinkToFit="0" vertical="bottom" wrapText="0"/>
    </xf>
    <xf borderId="0" fillId="0" fontId="1" numFmtId="4" xfId="0" applyAlignment="1" applyFont="1" applyNumberFormat="1">
      <alignment vertical="bottom"/>
    </xf>
    <xf borderId="0" fillId="0" fontId="3" numFmtId="0" xfId="0" applyAlignment="1" applyFont="1">
      <alignment shrinkToFit="0" vertical="bottom" wrapText="0"/>
    </xf>
    <xf borderId="0" fillId="0" fontId="3" numFmtId="4" xfId="0" applyAlignment="1" applyFont="1" applyNumberFormat="1">
      <alignment horizontal="right"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3" numFmtId="9" xfId="0" applyAlignment="1" applyFont="1" applyNumberFormat="1">
      <alignment horizontal="right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4" xfId="0" applyAlignment="1" applyFont="1" applyNumberFormat="1">
      <alignment horizontal="right" shrinkToFit="0" vertical="bottom" wrapText="0"/>
    </xf>
    <xf borderId="0" fillId="0" fontId="5" numFmtId="4" xfId="0" applyAlignment="1" applyFont="1" applyNumberFormat="1">
      <alignment horizontal="right" shrinkToFit="0" vertical="bottom" wrapText="0"/>
    </xf>
    <xf borderId="0" fillId="0" fontId="2" numFmtId="4" xfId="0" applyAlignment="1" applyFont="1" applyNumberFormat="1">
      <alignment horizontal="center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6" numFmtId="4" xfId="0" applyAlignment="1" applyFont="1" applyNumberForma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center" shrinkToFit="0" wrapText="0"/>
    </xf>
    <xf borderId="0" fillId="0" fontId="8" numFmtId="4" xfId="0" applyAlignment="1" applyFont="1" applyNumberFormat="1">
      <alignment horizontal="center"/>
    </xf>
    <xf borderId="0" fillId="0" fontId="9" numFmtId="0" xfId="0" applyAlignment="1" applyFont="1">
      <alignment shrinkToFit="0" vertical="bottom" wrapText="0"/>
    </xf>
    <xf borderId="0" fillId="0" fontId="10" numFmtId="4" xfId="0" applyAlignment="1" applyFont="1" applyNumberFormat="1">
      <alignment horizontal="right"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center" shrinkToFit="0" wrapText="0"/>
    </xf>
    <xf borderId="0" fillId="0" fontId="10" numFmtId="9" xfId="0" applyAlignment="1" applyFont="1" applyNumberFormat="1">
      <alignment horizontal="right" shrinkToFit="0" vertical="bottom" wrapText="0"/>
    </xf>
    <xf borderId="0" fillId="0" fontId="10" numFmtId="0" xfId="0" applyAlignment="1" applyFont="1">
      <alignment horizontal="right" shrinkToFit="0" vertical="bottom" wrapText="0"/>
    </xf>
    <xf borderId="0" fillId="0" fontId="11" numFmtId="4" xfId="0" applyAlignment="1" applyFont="1" applyNumberFormat="1">
      <alignment horizontal="right" shrinkToFit="0" vertical="bottom" wrapText="0"/>
    </xf>
    <xf borderId="0" fillId="0" fontId="10" numFmtId="0" xfId="0" applyAlignment="1" applyFont="1">
      <alignment horizontal="center" shrinkToFit="0" wrapText="0"/>
    </xf>
    <xf borderId="0" fillId="0" fontId="10" numFmtId="0" xfId="0" applyAlignment="1" applyFont="1">
      <alignment shrinkToFit="0" vertical="bottom" wrapText="0"/>
    </xf>
    <xf borderId="0" fillId="0" fontId="10" numFmtId="4" xfId="0" applyAlignment="1" applyFont="1" applyNumberFormat="1">
      <alignment horizontal="right" shrinkToFit="0" wrapText="0"/>
    </xf>
    <xf borderId="0" fillId="0" fontId="1" numFmtId="4" xfId="0" applyFont="1" applyNumberFormat="1"/>
    <xf borderId="0" fillId="0" fontId="11" numFmtId="0" xfId="0" applyAlignment="1" applyFont="1">
      <alignment horizontal="center" shrinkToFit="0" vertical="bottom" wrapText="0"/>
    </xf>
    <xf borderId="0" fillId="0" fontId="8" numFmtId="4" xfId="0" applyAlignment="1" applyFont="1" applyNumberFormat="1">
      <alignment horizontal="center" shrinkToFit="0" vertical="bottom" wrapText="0"/>
    </xf>
    <xf borderId="0" fillId="0" fontId="8" numFmtId="4" xfId="0" applyAlignment="1" applyFont="1" applyNumberFormat="1">
      <alignment horizontal="right" shrinkToFit="0" vertical="bottom" wrapText="0"/>
    </xf>
    <xf borderId="0" fillId="0" fontId="12" numFmtId="0" xfId="0" applyAlignment="1" applyFont="1">
      <alignment horizontal="center" shrinkToFit="0" vertical="bottom" wrapText="0"/>
    </xf>
    <xf borderId="0" fillId="0" fontId="13" numFmtId="10" xfId="0" applyAlignment="1" applyFont="1" applyNumberFormat="1">
      <alignment horizontal="center" shrinkToFit="0" vertical="bottom" wrapText="0"/>
    </xf>
    <xf borderId="0" fillId="0" fontId="13" numFmtId="0" xfId="0" applyAlignment="1" applyFont="1">
      <alignment shrinkToFit="0" wrapText="0"/>
    </xf>
    <xf borderId="0" fillId="0" fontId="13" numFmtId="0" xfId="0" applyAlignment="1" applyFont="1">
      <alignment shrinkToFit="0" vertical="bottom" wrapText="0"/>
    </xf>
    <xf borderId="0" fillId="0" fontId="14" numFmtId="4" xfId="0" applyAlignment="1" applyFont="1" applyNumberFormat="1">
      <alignment horizontal="right" readingOrder="0" shrinkToFit="0" vertical="bottom" wrapText="0"/>
    </xf>
    <xf borderId="0" fillId="0" fontId="14" numFmtId="4" xfId="0" applyAlignment="1" applyFont="1" applyNumberFormat="1">
      <alignment horizontal="right" shrinkToFit="0" vertical="bottom" wrapText="0"/>
    </xf>
    <xf borderId="0" fillId="0" fontId="13" numFmtId="4" xfId="0" applyAlignment="1" applyFont="1" applyNumberFormat="1">
      <alignment horizontal="right" shrinkToFit="0" vertical="bottom" wrapText="0"/>
    </xf>
    <xf borderId="0" fillId="0" fontId="14" numFmtId="3" xfId="0" applyAlignment="1" applyFont="1" applyNumberFormat="1">
      <alignment horizontal="center" shrinkToFit="0" vertical="bottom" wrapText="0"/>
    </xf>
    <xf borderId="0" fillId="0" fontId="1" numFmtId="3" xfId="0" applyAlignment="1" applyFont="1" applyNumberFormat="1">
      <alignment vertical="bottom"/>
    </xf>
    <xf borderId="0" fillId="0" fontId="15" numFmtId="10" xfId="0" applyAlignment="1" applyFont="1" applyNumberFormat="1">
      <alignment horizontal="center" shrinkToFit="0" vertical="bottom" wrapText="0"/>
    </xf>
    <xf borderId="0" fillId="0" fontId="13" numFmtId="0" xfId="0" applyAlignment="1" applyFont="1">
      <alignment vertical="bottom"/>
    </xf>
    <xf borderId="0" fillId="0" fontId="15" numFmtId="4" xfId="0" applyAlignment="1" applyFont="1" applyNumberFormat="1">
      <alignment horizontal="center" shrinkToFit="0" vertical="bottom" wrapText="0"/>
    </xf>
    <xf borderId="0" fillId="0" fontId="14" numFmtId="0" xfId="0" applyAlignment="1" applyFont="1">
      <alignment shrinkToFit="0" vertical="bottom" wrapText="0"/>
    </xf>
    <xf borderId="0" fillId="0" fontId="16" numFmtId="0" xfId="0" applyAlignment="1" applyFont="1">
      <alignment horizontal="center" shrinkToFit="0" vertical="bottom" wrapText="0"/>
    </xf>
    <xf borderId="0" fillId="0" fontId="13" numFmtId="4" xfId="0" applyAlignment="1" applyFont="1" applyNumberFormat="1">
      <alignment horizontal="center" shrinkToFit="0" vertical="bottom" wrapText="0"/>
    </xf>
    <xf borderId="0" fillId="0" fontId="14" numFmtId="4" xfId="0" applyAlignment="1" applyFont="1" applyNumberFormat="1">
      <alignment horizontal="center" readingOrder="0" shrinkToFit="0" vertical="bottom" wrapText="0"/>
    </xf>
    <xf borderId="0" fillId="0" fontId="14" numFmtId="4" xfId="0" applyAlignment="1" applyFont="1" applyNumberFormat="1">
      <alignment horizontal="center" shrinkToFit="0" vertical="bottom" wrapText="0"/>
    </xf>
    <xf borderId="0" fillId="0" fontId="14" numFmtId="10" xfId="0" applyAlignment="1" applyFont="1" applyNumberFormat="1">
      <alignment horizontal="center" shrinkToFit="0" vertical="bottom" wrapText="0"/>
    </xf>
    <xf borderId="0" fillId="0" fontId="14" numFmtId="0" xfId="0" applyAlignment="1" applyFont="1">
      <alignment horizontal="center" readingOrder="0" shrinkToFit="0" vertical="bottom" wrapText="0"/>
    </xf>
    <xf borderId="0" fillId="0" fontId="1" numFmtId="10" xfId="0" applyAlignment="1" applyFont="1" applyNumberFormat="1">
      <alignment vertical="bottom"/>
    </xf>
    <xf borderId="0" fillId="0" fontId="14" numFmtId="10" xfId="0" applyAlignment="1" applyFont="1" applyNumberFormat="1">
      <alignment horizontal="right" shrinkToFit="0" vertical="bottom" wrapText="0"/>
    </xf>
    <xf borderId="0" fillId="0" fontId="17" numFmtId="0" xfId="0" applyAlignment="1" applyFont="1">
      <alignment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8" numFmtId="4" xfId="0" applyAlignment="1" applyFont="1" applyNumberFormat="1">
      <alignment horizontal="right" vertical="bottom"/>
    </xf>
    <xf borderId="0" fillId="0" fontId="19" numFmtId="4" xfId="0" applyAlignment="1" applyFont="1" applyNumberFormat="1">
      <alignment horizontal="right" vertical="bottom"/>
    </xf>
    <xf borderId="0" fillId="0" fontId="20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17" numFmtId="0" xfId="0" applyAlignment="1" applyFont="1">
      <alignment horizontal="center" shrinkToFit="0" vertical="bottom" wrapText="0"/>
    </xf>
    <xf borderId="0" fillId="0" fontId="21" numFmtId="0" xfId="0" applyAlignment="1" applyFont="1">
      <alignment horizontal="center"/>
    </xf>
    <xf borderId="0" fillId="0" fontId="22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4" xfId="0" applyAlignment="1" applyFont="1" applyNumberFormat="1">
      <alignment horizontal="right" shrinkToFit="0" vertical="bottom" wrapText="0"/>
    </xf>
    <xf borderId="0" fillId="0" fontId="23" numFmtId="4" xfId="0" applyAlignment="1" applyFont="1" applyNumberFormat="1">
      <alignment horizontal="right" shrinkToFit="0" vertical="bottom" wrapText="0"/>
    </xf>
    <xf borderId="0" fillId="0" fontId="22" numFmtId="0" xfId="0" applyAlignment="1" applyFont="1">
      <alignment shrinkToFit="0" vertical="bottom" wrapText="0"/>
    </xf>
    <xf borderId="0" fillId="0" fontId="22" numFmtId="4" xfId="0" applyAlignment="1" applyFont="1" applyNumberForma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'Tesorería'!$C$2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val>
            <c:numRef>
              <c:f>'Tesorería'!$C$14</c:f>
              <c:numCache/>
            </c:numRef>
          </c:val>
        </c:ser>
        <c:ser>
          <c:idx val="1"/>
          <c:order val="1"/>
          <c:tx>
            <c:strRef>
              <c:f>'Tesorería'!$D$2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val>
            <c:numRef>
              <c:f>'Tesorería'!$D$14</c:f>
              <c:numCache/>
            </c:numRef>
          </c:val>
        </c:ser>
        <c:ser>
          <c:idx val="2"/>
          <c:order val="2"/>
          <c:tx>
            <c:strRef>
              <c:f>'Tesorería'!$E$2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val>
            <c:numRef>
              <c:f>'Tesorería'!$E$14</c:f>
              <c:numCache/>
            </c:numRef>
          </c:val>
        </c:ser>
        <c:ser>
          <c:idx val="3"/>
          <c:order val="3"/>
          <c:tx>
            <c:strRef>
              <c:f>'Tesorería'!$F$2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val>
            <c:numRef>
              <c:f>'Tesorería'!$F$14</c:f>
              <c:numCache/>
            </c:numRef>
          </c:val>
        </c:ser>
        <c:ser>
          <c:idx val="4"/>
          <c:order val="4"/>
          <c:tx>
            <c:strRef>
              <c:f>'Tesorería'!$G$2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val>
            <c:numRef>
              <c:f>'Tesorería'!$G$14</c:f>
              <c:numCache/>
            </c:numRef>
          </c:val>
        </c:ser>
        <c:axId val="1238135861"/>
        <c:axId val="2015488707"/>
      </c:barChart>
      <c:catAx>
        <c:axId val="123813586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15488707"/>
      </c:catAx>
      <c:valAx>
        <c:axId val="201548870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3813586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419100</xdr:colOff>
      <xdr:row>1</xdr:row>
      <xdr:rowOff>76200</xdr:rowOff>
    </xdr:from>
    <xdr:ext cx="57150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4.75"/>
    <col customWidth="1" min="3" max="3" width="14.0"/>
    <col customWidth="1" min="4" max="4" width="74.5"/>
  </cols>
  <sheetData>
    <row r="1">
      <c r="A1" s="1"/>
      <c r="B1" s="2"/>
      <c r="C1" s="1"/>
      <c r="D1" s="1"/>
      <c r="E1" s="1"/>
    </row>
    <row r="2">
      <c r="A2" s="1"/>
      <c r="B2" s="3" t="s">
        <v>0</v>
      </c>
      <c r="C2" s="4"/>
      <c r="D2" s="5" t="s">
        <v>1</v>
      </c>
      <c r="E2" s="1"/>
    </row>
    <row r="3">
      <c r="A3" s="1"/>
      <c r="B3" s="6"/>
      <c r="C3" s="7" t="s">
        <v>2</v>
      </c>
      <c r="D3" s="8"/>
      <c r="E3" s="1"/>
    </row>
    <row r="4">
      <c r="A4" s="1"/>
      <c r="B4" s="6"/>
      <c r="C4" s="9"/>
      <c r="D4" s="8"/>
      <c r="E4" s="1"/>
    </row>
    <row r="5">
      <c r="A5" s="1"/>
      <c r="B5" s="6"/>
      <c r="C5" s="9"/>
      <c r="D5" s="10" t="s">
        <v>3</v>
      </c>
      <c r="E5" s="1"/>
    </row>
    <row r="6">
      <c r="A6" s="1"/>
      <c r="B6" s="6"/>
      <c r="C6" s="7" t="s">
        <v>4</v>
      </c>
      <c r="D6" s="8"/>
      <c r="E6" s="1"/>
    </row>
    <row r="7">
      <c r="A7" s="11"/>
      <c r="B7" s="6"/>
      <c r="C7" s="9"/>
      <c r="D7" s="8"/>
      <c r="E7" s="12"/>
    </row>
    <row r="8">
      <c r="A8" s="11"/>
      <c r="B8" s="6"/>
      <c r="C8" s="9"/>
      <c r="D8" s="10" t="s">
        <v>5</v>
      </c>
      <c r="E8" s="12"/>
    </row>
    <row r="9">
      <c r="A9" s="11"/>
      <c r="B9" s="6"/>
      <c r="C9" s="7" t="s">
        <v>6</v>
      </c>
      <c r="D9" s="8"/>
      <c r="E9" s="12"/>
    </row>
    <row r="10">
      <c r="A10" s="11"/>
      <c r="B10" s="6"/>
      <c r="C10" s="9"/>
      <c r="D10" s="8"/>
      <c r="E10" s="12"/>
    </row>
    <row r="11">
      <c r="A11" s="11"/>
      <c r="B11" s="6"/>
      <c r="C11" s="9"/>
      <c r="D11" s="10" t="s">
        <v>7</v>
      </c>
      <c r="E11" s="12"/>
    </row>
    <row r="12">
      <c r="A12" s="11"/>
      <c r="B12" s="6"/>
      <c r="C12" s="7" t="s">
        <v>8</v>
      </c>
      <c r="D12" s="8"/>
      <c r="E12" s="12"/>
    </row>
    <row r="13">
      <c r="A13" s="11"/>
      <c r="B13" s="13"/>
      <c r="C13" s="14"/>
      <c r="D13" s="15"/>
      <c r="E13" s="12"/>
    </row>
    <row r="14">
      <c r="A14" s="11"/>
      <c r="B14" s="16" t="s">
        <v>9</v>
      </c>
      <c r="C14" s="17"/>
      <c r="D14" s="5" t="s">
        <v>10</v>
      </c>
      <c r="E14" s="12"/>
    </row>
    <row r="15">
      <c r="A15" s="11"/>
      <c r="B15" s="18"/>
      <c r="C15" s="7" t="s">
        <v>11</v>
      </c>
      <c r="D15" s="8"/>
      <c r="E15" s="12"/>
    </row>
    <row r="16">
      <c r="A16" s="11"/>
      <c r="B16" s="18"/>
      <c r="C16" s="7"/>
      <c r="D16" s="8"/>
      <c r="E16" s="12"/>
    </row>
    <row r="17">
      <c r="A17" s="11"/>
      <c r="B17" s="18"/>
      <c r="C17" s="7"/>
      <c r="D17" s="10" t="s">
        <v>12</v>
      </c>
      <c r="E17" s="12"/>
    </row>
    <row r="18">
      <c r="A18" s="11"/>
      <c r="B18" s="18"/>
      <c r="C18" s="7" t="s">
        <v>13</v>
      </c>
      <c r="D18" s="8"/>
      <c r="E18" s="12"/>
    </row>
    <row r="19">
      <c r="A19" s="11"/>
      <c r="B19" s="18"/>
      <c r="C19" s="7"/>
      <c r="D19" s="8"/>
      <c r="E19" s="12"/>
    </row>
    <row r="20">
      <c r="A20" s="11"/>
      <c r="B20" s="18"/>
      <c r="C20" s="7"/>
      <c r="D20" s="10" t="s">
        <v>14</v>
      </c>
      <c r="E20" s="12"/>
    </row>
    <row r="21">
      <c r="A21" s="11"/>
      <c r="B21" s="18"/>
      <c r="C21" s="7" t="s">
        <v>15</v>
      </c>
      <c r="D21" s="8"/>
      <c r="E21" s="12"/>
    </row>
    <row r="22">
      <c r="A22" s="11"/>
      <c r="B22" s="19"/>
      <c r="C22" s="20"/>
      <c r="D22" s="15"/>
      <c r="E22" s="12"/>
    </row>
    <row r="23">
      <c r="A23" s="1"/>
      <c r="B23" s="1"/>
      <c r="C23" s="1"/>
      <c r="D23" s="1"/>
      <c r="E23" s="1"/>
    </row>
  </sheetData>
  <mergeCells count="9">
    <mergeCell ref="D17:D19"/>
    <mergeCell ref="D20:D22"/>
    <mergeCell ref="B2:B13"/>
    <mergeCell ref="D2:D4"/>
    <mergeCell ref="D5:D7"/>
    <mergeCell ref="D8:D10"/>
    <mergeCell ref="D11:D13"/>
    <mergeCell ref="B14:B22"/>
    <mergeCell ref="D14:D1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1" t="s">
        <v>2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3" t="s">
        <v>22</v>
      </c>
      <c r="K1" s="24" t="s">
        <v>23</v>
      </c>
    </row>
    <row r="2">
      <c r="A2" s="1"/>
    </row>
    <row r="3">
      <c r="A3" s="1"/>
      <c r="B3" s="25" t="s">
        <v>24</v>
      </c>
      <c r="D3" s="26"/>
      <c r="K3" s="1"/>
    </row>
    <row r="4">
      <c r="A4" s="1"/>
      <c r="B4" s="27" t="s">
        <v>25</v>
      </c>
      <c r="D4" s="28">
        <v>60000.0</v>
      </c>
      <c r="E4" s="28">
        <v>3000.0</v>
      </c>
      <c r="F4" s="28">
        <v>4000.0</v>
      </c>
      <c r="G4" s="28">
        <v>3500.0</v>
      </c>
      <c r="H4" s="28">
        <v>13000.0</v>
      </c>
      <c r="I4" s="28">
        <v>41000.0</v>
      </c>
      <c r="J4" s="29">
        <v>7.0</v>
      </c>
      <c r="K4" s="30">
        <f t="shared" ref="K4:K8" si="1">IF(J4&lt;&gt;0,1/J4,0)</f>
        <v>0.1428571429</v>
      </c>
    </row>
    <row r="5">
      <c r="A5" s="1"/>
      <c r="B5" s="27" t="s">
        <v>26</v>
      </c>
      <c r="D5" s="28">
        <v>35000.0</v>
      </c>
      <c r="E5" s="28">
        <v>0.0</v>
      </c>
      <c r="F5" s="28">
        <v>2000.0</v>
      </c>
      <c r="G5" s="28">
        <v>18000.0</v>
      </c>
      <c r="H5" s="28">
        <v>3000.0</v>
      </c>
      <c r="I5" s="28">
        <v>0.0</v>
      </c>
      <c r="J5" s="29">
        <v>15.0</v>
      </c>
      <c r="K5" s="30">
        <f t="shared" si="1"/>
        <v>0.06666666667</v>
      </c>
    </row>
    <row r="6">
      <c r="A6" s="1"/>
      <c r="B6" s="27" t="s">
        <v>27</v>
      </c>
      <c r="D6" s="28">
        <v>110000.0</v>
      </c>
      <c r="E6" s="28">
        <v>0.0</v>
      </c>
      <c r="F6" s="28">
        <v>0.0</v>
      </c>
      <c r="G6" s="28">
        <v>0.0</v>
      </c>
      <c r="H6" s="28">
        <v>0.0</v>
      </c>
      <c r="I6" s="28">
        <v>0.0</v>
      </c>
      <c r="J6" s="29">
        <v>20.0</v>
      </c>
      <c r="K6" s="30">
        <f t="shared" si="1"/>
        <v>0.05</v>
      </c>
    </row>
    <row r="7">
      <c r="A7" s="1"/>
      <c r="B7" s="27" t="s">
        <v>28</v>
      </c>
      <c r="D7" s="28">
        <v>15000.0</v>
      </c>
      <c r="E7" s="28">
        <v>0.0</v>
      </c>
      <c r="F7" s="28">
        <v>0.0</v>
      </c>
      <c r="G7" s="28">
        <v>0.0</v>
      </c>
      <c r="H7" s="28">
        <v>16000.0</v>
      </c>
      <c r="I7" s="28">
        <v>0.0</v>
      </c>
      <c r="J7" s="29">
        <v>3.0</v>
      </c>
      <c r="K7" s="30">
        <f t="shared" si="1"/>
        <v>0.3333333333</v>
      </c>
    </row>
    <row r="8">
      <c r="A8" s="1"/>
      <c r="B8" s="27" t="s">
        <v>29</v>
      </c>
      <c r="D8" s="28">
        <v>25000.0</v>
      </c>
      <c r="E8" s="28">
        <v>30000.0</v>
      </c>
      <c r="F8" s="28">
        <v>22000.0</v>
      </c>
      <c r="G8" s="28">
        <v>30000.0</v>
      </c>
      <c r="H8" s="28">
        <v>25000.0</v>
      </c>
      <c r="I8" s="28">
        <v>30000.0</v>
      </c>
      <c r="J8" s="29">
        <v>3.0</v>
      </c>
      <c r="K8" s="30">
        <f t="shared" si="1"/>
        <v>0.3333333333</v>
      </c>
    </row>
    <row r="9">
      <c r="A9" s="1"/>
      <c r="B9" s="31" t="s">
        <v>30</v>
      </c>
      <c r="D9" s="32">
        <f t="shared" ref="D9:I9" si="2">SUM(D4:D8)</f>
        <v>245000</v>
      </c>
      <c r="E9" s="32">
        <f t="shared" si="2"/>
        <v>33000</v>
      </c>
      <c r="F9" s="32">
        <f t="shared" si="2"/>
        <v>28000</v>
      </c>
      <c r="G9" s="32">
        <f t="shared" si="2"/>
        <v>51500</v>
      </c>
      <c r="H9" s="32">
        <f t="shared" si="2"/>
        <v>57000</v>
      </c>
      <c r="I9" s="32">
        <f t="shared" si="2"/>
        <v>71000</v>
      </c>
      <c r="J9" s="26"/>
      <c r="K9" s="1"/>
    </row>
    <row r="10">
      <c r="A10" s="1"/>
      <c r="B10" s="25" t="s">
        <v>31</v>
      </c>
      <c r="D10" s="26"/>
    </row>
    <row r="11">
      <c r="A11" s="1"/>
      <c r="B11" s="31" t="s">
        <v>32</v>
      </c>
      <c r="D11" s="28">
        <v>0.0</v>
      </c>
      <c r="E11" s="26"/>
      <c r="F11" s="1"/>
      <c r="G11" s="1"/>
      <c r="H11" s="1"/>
      <c r="I11" s="1"/>
      <c r="J11" s="1"/>
    </row>
    <row r="12">
      <c r="A12" s="1"/>
      <c r="B12" s="31" t="s">
        <v>33</v>
      </c>
      <c r="D12" s="28">
        <v>335000.0</v>
      </c>
      <c r="E12" s="1"/>
      <c r="F12" s="1"/>
      <c r="G12" s="1"/>
      <c r="H12" s="1"/>
      <c r="I12" s="1"/>
      <c r="J12" s="1"/>
    </row>
    <row r="13">
      <c r="A13" s="1"/>
      <c r="B13" s="31" t="s">
        <v>34</v>
      </c>
      <c r="D13" s="32">
        <f>SUM(D11:D12)</f>
        <v>335000</v>
      </c>
      <c r="E13" s="1"/>
      <c r="F13" s="1"/>
      <c r="G13" s="1"/>
      <c r="H13" s="1"/>
      <c r="I13" s="1"/>
      <c r="J13" s="1"/>
    </row>
    <row r="14">
      <c r="A14" s="1"/>
      <c r="B14" s="25" t="s">
        <v>35</v>
      </c>
      <c r="D14" s="33">
        <f t="shared" ref="D14:I14" si="3">D9+D13</f>
        <v>580000</v>
      </c>
      <c r="E14" s="33">
        <f t="shared" si="3"/>
        <v>33000</v>
      </c>
      <c r="F14" s="33">
        <f t="shared" si="3"/>
        <v>28000</v>
      </c>
      <c r="G14" s="33">
        <f t="shared" si="3"/>
        <v>51500</v>
      </c>
      <c r="H14" s="33">
        <f t="shared" si="3"/>
        <v>57000</v>
      </c>
      <c r="I14" s="33">
        <f t="shared" si="3"/>
        <v>71000</v>
      </c>
      <c r="J14" s="26"/>
    </row>
    <row r="15">
      <c r="A15" s="1"/>
      <c r="B15" s="1"/>
      <c r="D15" s="1"/>
      <c r="E15" s="1"/>
      <c r="F15" s="1"/>
      <c r="G15" s="1"/>
      <c r="H15" s="1"/>
      <c r="I15" s="1"/>
      <c r="J15" s="1"/>
      <c r="K15" s="1"/>
    </row>
    <row r="16">
      <c r="A16" s="1"/>
      <c r="B16" s="34" t="s">
        <v>36</v>
      </c>
      <c r="J16" s="1"/>
      <c r="K16" s="1"/>
    </row>
    <row r="17">
      <c r="A17" s="1"/>
      <c r="B17" s="1"/>
      <c r="D17" s="26"/>
      <c r="E17" s="26"/>
      <c r="F17" s="26"/>
      <c r="G17" s="26"/>
      <c r="H17" s="26"/>
      <c r="I17" s="26"/>
      <c r="J17" s="1"/>
      <c r="K17" s="1"/>
    </row>
    <row r="18">
      <c r="A18" s="1"/>
      <c r="B18" s="35" t="s">
        <v>37</v>
      </c>
      <c r="D18" s="36" t="s">
        <v>38</v>
      </c>
      <c r="E18" s="36" t="s">
        <v>17</v>
      </c>
      <c r="F18" s="36" t="s">
        <v>18</v>
      </c>
      <c r="G18" s="36" t="s">
        <v>19</v>
      </c>
      <c r="H18" s="36" t="s">
        <v>20</v>
      </c>
      <c r="I18" s="36" t="s">
        <v>21</v>
      </c>
      <c r="J18" s="1"/>
      <c r="K18" s="1"/>
    </row>
    <row r="19">
      <c r="A19" s="1"/>
      <c r="B19" s="37" t="str">
        <f t="shared" ref="B19:B20" si="5">B4</f>
        <v>Maquinaria</v>
      </c>
      <c r="D19" s="28">
        <f t="shared" ref="D19:D23" si="6">D4</f>
        <v>60000</v>
      </c>
      <c r="E19" s="28">
        <f t="shared" ref="E19:I19" si="4">D19+E4</f>
        <v>63000</v>
      </c>
      <c r="F19" s="28">
        <f t="shared" si="4"/>
        <v>67000</v>
      </c>
      <c r="G19" s="28">
        <f t="shared" si="4"/>
        <v>70500</v>
      </c>
      <c r="H19" s="28">
        <f t="shared" si="4"/>
        <v>83500</v>
      </c>
      <c r="I19" s="28">
        <f t="shared" si="4"/>
        <v>124500</v>
      </c>
      <c r="J19" s="1"/>
      <c r="K19" s="1"/>
    </row>
    <row r="20">
      <c r="A20" s="1"/>
      <c r="B20" s="37" t="str">
        <f t="shared" si="5"/>
        <v>Mobiliario</v>
      </c>
      <c r="D20" s="28">
        <f t="shared" si="6"/>
        <v>35000</v>
      </c>
      <c r="E20" s="28">
        <f t="shared" ref="E20:I20" si="7">D20+E5</f>
        <v>35000</v>
      </c>
      <c r="F20" s="28">
        <f t="shared" si="7"/>
        <v>37000</v>
      </c>
      <c r="G20" s="28">
        <f t="shared" si="7"/>
        <v>55000</v>
      </c>
      <c r="H20" s="28">
        <f t="shared" si="7"/>
        <v>58000</v>
      </c>
      <c r="I20" s="28">
        <f t="shared" si="7"/>
        <v>58000</v>
      </c>
      <c r="J20" s="1"/>
      <c r="K20" s="1"/>
    </row>
    <row r="21">
      <c r="A21" s="1"/>
      <c r="B21" s="1"/>
      <c r="D21" s="28">
        <f t="shared" si="6"/>
        <v>110000</v>
      </c>
      <c r="E21" s="28">
        <f t="shared" ref="E21:I21" si="8">D21+E6</f>
        <v>110000</v>
      </c>
      <c r="F21" s="28">
        <f t="shared" si="8"/>
        <v>110000</v>
      </c>
      <c r="G21" s="28">
        <f t="shared" si="8"/>
        <v>110000</v>
      </c>
      <c r="H21" s="28">
        <f t="shared" si="8"/>
        <v>110000</v>
      </c>
      <c r="I21" s="28">
        <f t="shared" si="8"/>
        <v>110000</v>
      </c>
      <c r="J21" s="1"/>
      <c r="K21" s="1"/>
    </row>
    <row r="22">
      <c r="A22" s="1"/>
      <c r="B22" s="37" t="str">
        <f t="shared" ref="B22:B23" si="10">B7</f>
        <v>Equipos informáticos</v>
      </c>
      <c r="D22" s="28">
        <f t="shared" si="6"/>
        <v>15000</v>
      </c>
      <c r="E22" s="28">
        <f t="shared" ref="E22:I22" si="9">D22+E7</f>
        <v>15000</v>
      </c>
      <c r="F22" s="28">
        <f t="shared" si="9"/>
        <v>15000</v>
      </c>
      <c r="G22" s="28">
        <f t="shared" si="9"/>
        <v>15000</v>
      </c>
      <c r="H22" s="28">
        <f t="shared" si="9"/>
        <v>31000</v>
      </c>
      <c r="I22" s="28">
        <f t="shared" si="9"/>
        <v>31000</v>
      </c>
      <c r="J22" s="1"/>
      <c r="K22" s="1"/>
    </row>
    <row r="23">
      <c r="A23" s="1"/>
      <c r="B23" s="37" t="str">
        <f t="shared" si="10"/>
        <v>Intangibles</v>
      </c>
      <c r="D23" s="28">
        <f t="shared" si="6"/>
        <v>25000</v>
      </c>
      <c r="E23" s="28">
        <f t="shared" ref="E23:I23" si="11">D23+E8</f>
        <v>55000</v>
      </c>
      <c r="F23" s="28">
        <f t="shared" si="11"/>
        <v>77000</v>
      </c>
      <c r="G23" s="28">
        <f t="shared" si="11"/>
        <v>107000</v>
      </c>
      <c r="H23" s="28">
        <f t="shared" si="11"/>
        <v>132000</v>
      </c>
      <c r="I23" s="28">
        <f t="shared" si="11"/>
        <v>162000</v>
      </c>
      <c r="J23" s="1"/>
      <c r="K23" s="1"/>
    </row>
    <row r="24">
      <c r="A24" s="1"/>
      <c r="B24" s="37" t="s">
        <v>39</v>
      </c>
      <c r="D24" s="32">
        <f t="shared" ref="D24:I24" si="12">SUM(D19:D23)</f>
        <v>245000</v>
      </c>
      <c r="E24" s="32">
        <f t="shared" si="12"/>
        <v>278000</v>
      </c>
      <c r="F24" s="32">
        <f t="shared" si="12"/>
        <v>306000</v>
      </c>
      <c r="G24" s="32">
        <f t="shared" si="12"/>
        <v>357500</v>
      </c>
      <c r="H24" s="32">
        <f t="shared" si="12"/>
        <v>414500</v>
      </c>
      <c r="I24" s="32">
        <f t="shared" si="12"/>
        <v>485500</v>
      </c>
      <c r="J24" s="1"/>
      <c r="K24" s="1"/>
    </row>
    <row r="25">
      <c r="A25" s="1"/>
      <c r="B25" s="1"/>
      <c r="D25" s="26"/>
      <c r="E25" s="26"/>
      <c r="F25" s="26"/>
      <c r="G25" s="26"/>
      <c r="H25" s="26"/>
      <c r="I25" s="26"/>
      <c r="J25" s="1"/>
      <c r="K25" s="1"/>
    </row>
    <row r="26">
      <c r="A26" s="1"/>
      <c r="B26" s="35" t="s">
        <v>40</v>
      </c>
      <c r="D26" s="36" t="s">
        <v>38</v>
      </c>
      <c r="E26" s="36" t="s">
        <v>17</v>
      </c>
      <c r="F26" s="36" t="s">
        <v>18</v>
      </c>
      <c r="G26" s="36" t="s">
        <v>19</v>
      </c>
      <c r="H26" s="36" t="s">
        <v>20</v>
      </c>
      <c r="I26" s="36" t="s">
        <v>21</v>
      </c>
      <c r="J26" s="1"/>
      <c r="K26" s="1"/>
    </row>
    <row r="27">
      <c r="A27" s="1"/>
      <c r="B27" s="37" t="str">
        <f t="shared" ref="B27:B28" si="14">B4</f>
        <v>Maquinaria</v>
      </c>
      <c r="C27" s="1"/>
      <c r="D27" s="28">
        <v>0.0</v>
      </c>
      <c r="E27" s="28">
        <f t="shared" ref="E27:I27" si="13">$K4*E19</f>
        <v>9000</v>
      </c>
      <c r="F27" s="28">
        <f t="shared" si="13"/>
        <v>9571.428571</v>
      </c>
      <c r="G27" s="28">
        <f t="shared" si="13"/>
        <v>10071.42857</v>
      </c>
      <c r="H27" s="28">
        <f t="shared" si="13"/>
        <v>11928.57143</v>
      </c>
      <c r="I27" s="28">
        <f t="shared" si="13"/>
        <v>17785.71429</v>
      </c>
      <c r="J27" s="1"/>
      <c r="K27" s="1"/>
    </row>
    <row r="28">
      <c r="A28" s="1"/>
      <c r="B28" s="37" t="str">
        <f t="shared" si="14"/>
        <v>Mobiliario</v>
      </c>
      <c r="C28" s="1"/>
      <c r="D28" s="28">
        <v>0.0</v>
      </c>
      <c r="E28" s="28">
        <f t="shared" ref="E28:I28" si="15">$K5*E20</f>
        <v>2333.333333</v>
      </c>
      <c r="F28" s="28">
        <f t="shared" si="15"/>
        <v>2466.666667</v>
      </c>
      <c r="G28" s="28">
        <f t="shared" si="15"/>
        <v>3666.666667</v>
      </c>
      <c r="H28" s="28">
        <f t="shared" si="15"/>
        <v>3866.666667</v>
      </c>
      <c r="I28" s="28">
        <f t="shared" si="15"/>
        <v>3866.666667</v>
      </c>
      <c r="J28" s="1"/>
      <c r="K28" s="1"/>
    </row>
    <row r="29">
      <c r="A29" s="1"/>
      <c r="B29" s="1"/>
      <c r="D29" s="28">
        <v>0.0</v>
      </c>
      <c r="E29" s="28">
        <f t="shared" ref="E29:I29" si="16">$K6*E21</f>
        <v>5500</v>
      </c>
      <c r="F29" s="28">
        <f t="shared" si="16"/>
        <v>5500</v>
      </c>
      <c r="G29" s="28">
        <f t="shared" si="16"/>
        <v>5500</v>
      </c>
      <c r="H29" s="28">
        <f t="shared" si="16"/>
        <v>5500</v>
      </c>
      <c r="I29" s="28">
        <f t="shared" si="16"/>
        <v>5500</v>
      </c>
      <c r="J29" s="1"/>
      <c r="K29" s="1"/>
    </row>
    <row r="30">
      <c r="A30" s="1"/>
      <c r="B30" s="37" t="str">
        <f t="shared" ref="B30:B31" si="18">B7</f>
        <v>Equipos informáticos</v>
      </c>
      <c r="C30" s="1"/>
      <c r="D30" s="28">
        <v>0.0</v>
      </c>
      <c r="E30" s="28">
        <f t="shared" ref="E30:I30" si="17">$K7*E22</f>
        <v>5000</v>
      </c>
      <c r="F30" s="28">
        <f t="shared" si="17"/>
        <v>5000</v>
      </c>
      <c r="G30" s="28">
        <f t="shared" si="17"/>
        <v>5000</v>
      </c>
      <c r="H30" s="28">
        <f t="shared" si="17"/>
        <v>10333.33333</v>
      </c>
      <c r="I30" s="28">
        <f t="shared" si="17"/>
        <v>10333.33333</v>
      </c>
      <c r="J30" s="1"/>
      <c r="K30" s="1"/>
    </row>
    <row r="31">
      <c r="A31" s="1"/>
      <c r="B31" s="37" t="str">
        <f t="shared" si="18"/>
        <v>Intangibles</v>
      </c>
      <c r="C31" s="1"/>
      <c r="D31" s="28">
        <v>0.0</v>
      </c>
      <c r="E31" s="28">
        <f t="shared" ref="E31:I31" si="19">$K8*E23</f>
        <v>18333.33333</v>
      </c>
      <c r="F31" s="28">
        <f t="shared" si="19"/>
        <v>25666.66667</v>
      </c>
      <c r="G31" s="28">
        <f t="shared" si="19"/>
        <v>35666.66667</v>
      </c>
      <c r="H31" s="28">
        <f t="shared" si="19"/>
        <v>44000</v>
      </c>
      <c r="I31" s="28">
        <f t="shared" si="19"/>
        <v>54000</v>
      </c>
      <c r="J31" s="1"/>
      <c r="K31" s="1"/>
    </row>
    <row r="32">
      <c r="A32" s="1"/>
      <c r="B32" s="38" t="s">
        <v>39</v>
      </c>
      <c r="D32" s="32">
        <f t="shared" ref="D32:I32" si="20">SUM(D27:D31)</f>
        <v>0</v>
      </c>
      <c r="E32" s="32">
        <f t="shared" si="20"/>
        <v>40166.66667</v>
      </c>
      <c r="F32" s="32">
        <f t="shared" si="20"/>
        <v>48204.7619</v>
      </c>
      <c r="G32" s="32">
        <f t="shared" si="20"/>
        <v>59904.7619</v>
      </c>
      <c r="H32" s="32">
        <f t="shared" si="20"/>
        <v>75628.57143</v>
      </c>
      <c r="I32" s="32">
        <f t="shared" si="20"/>
        <v>91485.71429</v>
      </c>
      <c r="J32" s="1"/>
      <c r="K32" s="1"/>
    </row>
    <row r="33">
      <c r="A33" s="1"/>
      <c r="B33" s="1"/>
      <c r="D33" s="26"/>
      <c r="E33" s="26"/>
      <c r="F33" s="26"/>
      <c r="G33" s="26"/>
      <c r="H33" s="26"/>
      <c r="I33" s="26"/>
      <c r="J33" s="1"/>
      <c r="K33" s="1"/>
    </row>
    <row r="34">
      <c r="A34" s="1"/>
      <c r="B34" s="25" t="s">
        <v>41</v>
      </c>
      <c r="C34" s="1"/>
      <c r="D34" s="36" t="s">
        <v>38</v>
      </c>
      <c r="E34" s="36" t="s">
        <v>17</v>
      </c>
      <c r="F34" s="36" t="s">
        <v>18</v>
      </c>
      <c r="G34" s="36" t="s">
        <v>19</v>
      </c>
      <c r="H34" s="36" t="s">
        <v>20</v>
      </c>
      <c r="I34" s="36" t="s">
        <v>21</v>
      </c>
      <c r="J34" s="1"/>
      <c r="K34" s="1"/>
    </row>
    <row r="35">
      <c r="A35" s="1"/>
      <c r="B35" s="37" t="str">
        <f t="shared" ref="B35:B36" si="22">B4</f>
        <v>Maquinaria</v>
      </c>
      <c r="C35" s="1"/>
      <c r="D35" s="28">
        <f t="shared" ref="D35:D39" si="23">D27</f>
        <v>0</v>
      </c>
      <c r="E35" s="28">
        <f t="shared" ref="E35:I35" si="21">D35+E27</f>
        <v>9000</v>
      </c>
      <c r="F35" s="28">
        <f t="shared" si="21"/>
        <v>18571.42857</v>
      </c>
      <c r="G35" s="28">
        <f t="shared" si="21"/>
        <v>28642.85714</v>
      </c>
      <c r="H35" s="28">
        <f t="shared" si="21"/>
        <v>40571.42857</v>
      </c>
      <c r="I35" s="28">
        <f t="shared" si="21"/>
        <v>58357.14286</v>
      </c>
      <c r="J35" s="1"/>
      <c r="K35" s="1"/>
    </row>
    <row r="36">
      <c r="A36" s="1"/>
      <c r="B36" s="37" t="str">
        <f t="shared" si="22"/>
        <v>Mobiliario</v>
      </c>
      <c r="C36" s="1"/>
      <c r="D36" s="28">
        <f t="shared" si="23"/>
        <v>0</v>
      </c>
      <c r="E36" s="28">
        <f t="shared" ref="E36:I36" si="24">D36+E28</f>
        <v>2333.333333</v>
      </c>
      <c r="F36" s="28">
        <f t="shared" si="24"/>
        <v>4800</v>
      </c>
      <c r="G36" s="28">
        <f t="shared" si="24"/>
        <v>8466.666667</v>
      </c>
      <c r="H36" s="28">
        <f t="shared" si="24"/>
        <v>12333.33333</v>
      </c>
      <c r="I36" s="28">
        <f t="shared" si="24"/>
        <v>16200</v>
      </c>
      <c r="J36" s="1"/>
      <c r="K36" s="1"/>
    </row>
    <row r="37">
      <c r="A37" s="1"/>
      <c r="B37" s="1"/>
      <c r="D37" s="28">
        <f t="shared" si="23"/>
        <v>0</v>
      </c>
      <c r="E37" s="28">
        <f t="shared" ref="E37:I37" si="25">D37+E29</f>
        <v>5500</v>
      </c>
      <c r="F37" s="28">
        <f t="shared" si="25"/>
        <v>11000</v>
      </c>
      <c r="G37" s="28">
        <f t="shared" si="25"/>
        <v>16500</v>
      </c>
      <c r="H37" s="28">
        <f t="shared" si="25"/>
        <v>22000</v>
      </c>
      <c r="I37" s="28">
        <f t="shared" si="25"/>
        <v>27500</v>
      </c>
      <c r="J37" s="1"/>
      <c r="K37" s="1"/>
    </row>
    <row r="38">
      <c r="A38" s="1"/>
      <c r="B38" s="37" t="str">
        <f t="shared" ref="B38:B39" si="27">B7</f>
        <v>Equipos informáticos</v>
      </c>
      <c r="C38" s="1"/>
      <c r="D38" s="28">
        <f t="shared" si="23"/>
        <v>0</v>
      </c>
      <c r="E38" s="28">
        <f t="shared" ref="E38:I38" si="26">D38+E30</f>
        <v>5000</v>
      </c>
      <c r="F38" s="28">
        <f t="shared" si="26"/>
        <v>10000</v>
      </c>
      <c r="G38" s="28">
        <f t="shared" si="26"/>
        <v>15000</v>
      </c>
      <c r="H38" s="28">
        <f t="shared" si="26"/>
        <v>25333.33333</v>
      </c>
      <c r="I38" s="28">
        <f t="shared" si="26"/>
        <v>35666.66667</v>
      </c>
      <c r="J38" s="1"/>
      <c r="K38" s="1"/>
    </row>
    <row r="39">
      <c r="A39" s="1"/>
      <c r="B39" s="37" t="str">
        <f t="shared" si="27"/>
        <v>Intangibles</v>
      </c>
      <c r="C39" s="1"/>
      <c r="D39" s="28">
        <f t="shared" si="23"/>
        <v>0</v>
      </c>
      <c r="E39" s="28">
        <f t="shared" ref="E39:I39" si="28">D39+E31</f>
        <v>18333.33333</v>
      </c>
      <c r="F39" s="28">
        <f t="shared" si="28"/>
        <v>44000</v>
      </c>
      <c r="G39" s="28">
        <f t="shared" si="28"/>
        <v>79666.66667</v>
      </c>
      <c r="H39" s="28">
        <f t="shared" si="28"/>
        <v>123666.6667</v>
      </c>
      <c r="I39" s="28">
        <f t="shared" si="28"/>
        <v>177666.6667</v>
      </c>
      <c r="J39" s="1"/>
      <c r="K39" s="1"/>
    </row>
    <row r="40">
      <c r="A40" s="1"/>
      <c r="B40" s="38" t="s">
        <v>39</v>
      </c>
      <c r="D40" s="32">
        <f t="shared" ref="D40:I40" si="29">SUM(D35:D39)</f>
        <v>0</v>
      </c>
      <c r="E40" s="32">
        <f t="shared" si="29"/>
        <v>40166.66667</v>
      </c>
      <c r="F40" s="32">
        <f t="shared" si="29"/>
        <v>88371.42857</v>
      </c>
      <c r="G40" s="32">
        <f t="shared" si="29"/>
        <v>148276.1905</v>
      </c>
      <c r="H40" s="32">
        <f t="shared" si="29"/>
        <v>223904.7619</v>
      </c>
      <c r="I40" s="32">
        <f t="shared" si="29"/>
        <v>315390.4762</v>
      </c>
      <c r="J40" s="1"/>
      <c r="K40" s="1"/>
    </row>
  </sheetData>
  <mergeCells count="41">
    <mergeCell ref="J1:J2"/>
    <mergeCell ref="K1:K2"/>
    <mergeCell ref="K9:K14"/>
    <mergeCell ref="B1:C2"/>
    <mergeCell ref="D1:D2"/>
    <mergeCell ref="E1:E2"/>
    <mergeCell ref="F1:F2"/>
    <mergeCell ref="G1:G2"/>
    <mergeCell ref="H1:H2"/>
    <mergeCell ref="I1:I2"/>
    <mergeCell ref="B3:C3"/>
    <mergeCell ref="D3:J3"/>
    <mergeCell ref="B4:C4"/>
    <mergeCell ref="B5:C5"/>
    <mergeCell ref="B6:C6"/>
    <mergeCell ref="B7:C7"/>
    <mergeCell ref="B8:C8"/>
    <mergeCell ref="B9:C9"/>
    <mergeCell ref="B10:C10"/>
    <mergeCell ref="D10:J10"/>
    <mergeCell ref="B11:C11"/>
    <mergeCell ref="B12:C12"/>
    <mergeCell ref="B13:C13"/>
    <mergeCell ref="B14:C14"/>
    <mergeCell ref="B15:C15"/>
    <mergeCell ref="B16:I16"/>
    <mergeCell ref="B17:C17"/>
    <mergeCell ref="B18:C18"/>
    <mergeCell ref="B19:C19"/>
    <mergeCell ref="B20:C20"/>
    <mergeCell ref="B21:C21"/>
    <mergeCell ref="B33:C33"/>
    <mergeCell ref="B37:C37"/>
    <mergeCell ref="B40:C40"/>
    <mergeCell ref="B22:C22"/>
    <mergeCell ref="B23:C23"/>
    <mergeCell ref="B24:C24"/>
    <mergeCell ref="B25:C25"/>
    <mergeCell ref="B26:C26"/>
    <mergeCell ref="B29:C29"/>
    <mergeCell ref="B32:C3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39" t="s">
        <v>4</v>
      </c>
      <c r="E1" s="40" t="s">
        <v>16</v>
      </c>
      <c r="F1" s="40" t="s">
        <v>17</v>
      </c>
      <c r="G1" s="40" t="s">
        <v>18</v>
      </c>
      <c r="H1" s="40" t="s">
        <v>19</v>
      </c>
      <c r="I1" s="40" t="s">
        <v>20</v>
      </c>
      <c r="J1" s="40" t="s">
        <v>21</v>
      </c>
    </row>
    <row r="2">
      <c r="A2" s="1"/>
    </row>
    <row r="3">
      <c r="A3" s="1"/>
      <c r="B3" s="41" t="s">
        <v>42</v>
      </c>
      <c r="E3" s="42">
        <v>290000.0</v>
      </c>
      <c r="F3" s="42">
        <f t="shared" ref="F3:J3" si="1">0</f>
        <v>0</v>
      </c>
      <c r="G3" s="42">
        <f t="shared" si="1"/>
        <v>0</v>
      </c>
      <c r="H3" s="42">
        <f t="shared" si="1"/>
        <v>0</v>
      </c>
      <c r="I3" s="42">
        <f t="shared" si="1"/>
        <v>0</v>
      </c>
      <c r="J3" s="42">
        <f t="shared" si="1"/>
        <v>0</v>
      </c>
    </row>
    <row r="4">
      <c r="A4" s="1"/>
      <c r="B4" s="43" t="s">
        <v>43</v>
      </c>
      <c r="E4" s="42">
        <v>290000.0</v>
      </c>
      <c r="F4" s="42">
        <v>0.0</v>
      </c>
      <c r="G4" s="42">
        <f t="shared" ref="G4:J4" si="2">0</f>
        <v>0</v>
      </c>
      <c r="H4" s="42">
        <f t="shared" si="2"/>
        <v>0</v>
      </c>
      <c r="I4" s="42">
        <f t="shared" si="2"/>
        <v>0</v>
      </c>
      <c r="J4" s="42">
        <f t="shared" si="2"/>
        <v>0</v>
      </c>
    </row>
    <row r="5">
      <c r="A5" s="1"/>
      <c r="B5" s="44" t="s">
        <v>44</v>
      </c>
      <c r="D5" s="43" t="s">
        <v>45</v>
      </c>
      <c r="E5" s="45">
        <v>0.04</v>
      </c>
      <c r="F5" s="45">
        <v>0.04</v>
      </c>
      <c r="G5" s="45">
        <v>0.04</v>
      </c>
      <c r="H5" s="45">
        <v>0.04</v>
      </c>
      <c r="I5" s="45">
        <v>0.04</v>
      </c>
      <c r="J5" s="45">
        <v>0.04</v>
      </c>
    </row>
    <row r="6">
      <c r="A6" s="1"/>
      <c r="D6" s="43" t="s">
        <v>46</v>
      </c>
      <c r="E6" s="46">
        <v>30.0</v>
      </c>
      <c r="F6" s="46">
        <v>30.0</v>
      </c>
      <c r="G6" s="46">
        <v>30.0</v>
      </c>
      <c r="H6" s="46">
        <v>30.0</v>
      </c>
      <c r="I6" s="46">
        <v>30.0</v>
      </c>
      <c r="J6" s="46">
        <v>30.0</v>
      </c>
    </row>
    <row r="7">
      <c r="A7" s="1"/>
      <c r="B7" s="43" t="s">
        <v>47</v>
      </c>
      <c r="E7" s="47">
        <f t="shared" ref="E7:J7" si="3">E3+E4</f>
        <v>580000</v>
      </c>
      <c r="F7" s="47">
        <f t="shared" si="3"/>
        <v>0</v>
      </c>
      <c r="G7" s="47">
        <f t="shared" si="3"/>
        <v>0</v>
      </c>
      <c r="H7" s="47">
        <f t="shared" si="3"/>
        <v>0</v>
      </c>
      <c r="I7" s="47">
        <f t="shared" si="3"/>
        <v>0</v>
      </c>
      <c r="J7" s="47">
        <f t="shared" si="3"/>
        <v>0</v>
      </c>
    </row>
    <row r="8">
      <c r="A8" s="1"/>
      <c r="B8" s="1"/>
      <c r="C8" s="1"/>
      <c r="D8" s="1"/>
      <c r="E8" s="1"/>
      <c r="F8" s="26"/>
      <c r="G8" s="26"/>
      <c r="H8" s="26"/>
      <c r="I8" s="26"/>
      <c r="J8" s="26"/>
    </row>
    <row r="9">
      <c r="A9" s="1"/>
      <c r="B9" s="48" t="s">
        <v>48</v>
      </c>
      <c r="D9" s="49" t="s">
        <v>49</v>
      </c>
      <c r="E9" s="42">
        <f>Inversiones!D14</f>
        <v>580000</v>
      </c>
      <c r="F9" s="50">
        <f>Inversiones!E14</f>
        <v>33000</v>
      </c>
      <c r="G9" s="50">
        <f>Inversiones!F14</f>
        <v>28000</v>
      </c>
      <c r="H9" s="50">
        <f>Inversiones!G14</f>
        <v>51500</v>
      </c>
      <c r="I9" s="50">
        <f>Inversiones!H14</f>
        <v>57000</v>
      </c>
      <c r="J9" s="50">
        <f>Inversiones!I14</f>
        <v>71000</v>
      </c>
    </row>
    <row r="10">
      <c r="A10" s="1"/>
      <c r="D10" s="49" t="s">
        <v>4</v>
      </c>
      <c r="E10" s="42">
        <f t="shared" ref="E10:J10" si="4">E7</f>
        <v>580000</v>
      </c>
      <c r="F10" s="50">
        <f t="shared" si="4"/>
        <v>0</v>
      </c>
      <c r="G10" s="50">
        <f t="shared" si="4"/>
        <v>0</v>
      </c>
      <c r="H10" s="50">
        <f t="shared" si="4"/>
        <v>0</v>
      </c>
      <c r="I10" s="50">
        <f t="shared" si="4"/>
        <v>0</v>
      </c>
      <c r="J10" s="50">
        <f t="shared" si="4"/>
        <v>0</v>
      </c>
    </row>
    <row r="11">
      <c r="A11" s="1"/>
      <c r="B11" s="2"/>
      <c r="C11" s="1"/>
      <c r="D11" s="1" t="str">
        <f>IF(E9&lt;&gt;E10,CONCATENATE("La inversión y financiación inicial deben ser iguales, diferencia: ",E9-E10),"")</f>
        <v/>
      </c>
      <c r="F11" s="51"/>
      <c r="G11" s="51"/>
      <c r="H11" s="51"/>
      <c r="I11" s="51"/>
      <c r="J11" s="51"/>
    </row>
    <row r="12">
      <c r="A12" s="1"/>
      <c r="B12" s="2"/>
      <c r="C12" s="1"/>
      <c r="F12" s="51"/>
      <c r="G12" s="51"/>
      <c r="H12" s="51"/>
      <c r="I12" s="51"/>
      <c r="J12" s="51"/>
    </row>
    <row r="13">
      <c r="A13" s="1"/>
      <c r="B13" s="1"/>
      <c r="C13" s="1"/>
      <c r="D13" s="1"/>
      <c r="E13" s="1"/>
      <c r="F13" s="26"/>
      <c r="G13" s="26"/>
      <c r="H13" s="26"/>
      <c r="I13" s="26"/>
      <c r="J13" s="26"/>
    </row>
    <row r="14">
      <c r="A14" s="1"/>
      <c r="B14" s="1"/>
      <c r="C14" s="1"/>
      <c r="D14" s="1"/>
      <c r="E14" s="1"/>
      <c r="F14" s="26"/>
      <c r="G14" s="26"/>
      <c r="H14" s="26"/>
      <c r="I14" s="26"/>
      <c r="J14" s="26"/>
    </row>
    <row r="15">
      <c r="A15" s="1"/>
      <c r="B15" s="52" t="s">
        <v>36</v>
      </c>
    </row>
    <row r="16">
      <c r="A16" s="1"/>
      <c r="B16" s="1"/>
    </row>
    <row r="17">
      <c r="A17" s="1"/>
      <c r="B17" s="44" t="s">
        <v>50</v>
      </c>
      <c r="E17" s="53" t="s">
        <v>51</v>
      </c>
      <c r="F17" s="53" t="s">
        <v>17</v>
      </c>
      <c r="G17" s="53" t="s">
        <v>18</v>
      </c>
      <c r="H17" s="53" t="s">
        <v>19</v>
      </c>
      <c r="I17" s="53" t="s">
        <v>20</v>
      </c>
      <c r="J17" s="53" t="s">
        <v>21</v>
      </c>
    </row>
    <row r="18">
      <c r="A18" s="1"/>
      <c r="B18" s="43" t="s">
        <v>52</v>
      </c>
      <c r="E18" s="42">
        <f>E4</f>
        <v>290000</v>
      </c>
      <c r="F18" s="42">
        <f>E18-PPMT($E$5,1,$E$6,-$E$4)</f>
        <v>284829.2713</v>
      </c>
      <c r="G18" s="42">
        <f>F18-PPMT($E$5,2,$E$6,-$E$4)</f>
        <v>279451.7134</v>
      </c>
      <c r="H18" s="42">
        <f>G18-PPMT($E$5,3,$E$6,-$E$4)</f>
        <v>273859.0531</v>
      </c>
      <c r="I18" s="42">
        <f>H18-PPMT($E$5,4,$E$6,-$E$4)</f>
        <v>268042.6865</v>
      </c>
      <c r="J18" s="42">
        <f>I18-PPMT($E$5,5,$E$6,-$E$4)</f>
        <v>261993.6652</v>
      </c>
    </row>
    <row r="19">
      <c r="A19" s="1"/>
      <c r="B19" s="43" t="s">
        <v>53</v>
      </c>
      <c r="E19" s="26"/>
      <c r="F19" s="42">
        <f>F4</f>
        <v>0</v>
      </c>
      <c r="G19" s="42">
        <f>F19-PPMT($F$5,1,$F$6,-$F$4)</f>
        <v>0</v>
      </c>
      <c r="H19" s="42">
        <f>G19-PPMT($F$5,2,$F$6,-$F$4)</f>
        <v>0</v>
      </c>
      <c r="I19" s="42">
        <f>H19-PPMT($F$5,3,$F$6,-$F$4)</f>
        <v>0</v>
      </c>
      <c r="J19" s="42">
        <f>I19-PPMT($F$5,4,$F$6,-$F$4)</f>
        <v>0</v>
      </c>
    </row>
    <row r="20">
      <c r="A20" s="1"/>
      <c r="B20" s="43" t="s">
        <v>54</v>
      </c>
      <c r="E20" s="26"/>
      <c r="F20" s="26"/>
      <c r="G20" s="42">
        <f>G4</f>
        <v>0</v>
      </c>
      <c r="H20" s="42">
        <f>G20-PPMT($G$5,1,$G$6,-$G$4)</f>
        <v>0</v>
      </c>
      <c r="I20" s="42">
        <f>H20-PPMT($G$5,2,$G$6,-$G$4)</f>
        <v>0</v>
      </c>
      <c r="J20" s="42">
        <f>I20-PPMT($G$5,3,$G$6,-$G$4)</f>
        <v>0</v>
      </c>
    </row>
    <row r="21">
      <c r="A21" s="1"/>
      <c r="B21" s="43" t="s">
        <v>55</v>
      </c>
      <c r="E21" s="26"/>
      <c r="F21" s="26"/>
      <c r="G21" s="26"/>
      <c r="H21" s="42">
        <f>H4</f>
        <v>0</v>
      </c>
      <c r="I21" s="42">
        <f>H21-PPMT($H$5,1,$H$6,-$H$4)</f>
        <v>0</v>
      </c>
      <c r="J21" s="42">
        <f>I21-PPMT($H$5,2,$H$6,-$H$4)</f>
        <v>0</v>
      </c>
    </row>
    <row r="22">
      <c r="A22" s="1"/>
      <c r="B22" s="43" t="s">
        <v>56</v>
      </c>
      <c r="E22" s="26"/>
      <c r="F22" s="26"/>
      <c r="G22" s="26"/>
      <c r="H22" s="26"/>
      <c r="I22" s="42">
        <f>I4</f>
        <v>0</v>
      </c>
      <c r="J22" s="42">
        <f>I22-PPMT($I$5,1,$I$6,-$I$4)</f>
        <v>0</v>
      </c>
    </row>
    <row r="23">
      <c r="A23" s="1"/>
      <c r="B23" s="43" t="s">
        <v>57</v>
      </c>
      <c r="E23" s="26"/>
      <c r="F23" s="26"/>
      <c r="G23" s="26"/>
      <c r="H23" s="26"/>
      <c r="I23" s="26"/>
      <c r="J23" s="42">
        <f>J4</f>
        <v>0</v>
      </c>
    </row>
    <row r="24">
      <c r="A24" s="1"/>
      <c r="B24" s="43" t="s">
        <v>58</v>
      </c>
      <c r="E24" s="54">
        <f t="shared" ref="E24:J24" si="5">SUMIF(E18:E23,"&gt;0",E18:E23)</f>
        <v>290000</v>
      </c>
      <c r="F24" s="54">
        <f t="shared" si="5"/>
        <v>284829.2713</v>
      </c>
      <c r="G24" s="54">
        <f t="shared" si="5"/>
        <v>279451.7134</v>
      </c>
      <c r="H24" s="54">
        <f t="shared" si="5"/>
        <v>273859.0531</v>
      </c>
      <c r="I24" s="54">
        <f t="shared" si="5"/>
        <v>268042.6865</v>
      </c>
      <c r="J24" s="54">
        <f t="shared" si="5"/>
        <v>261993.6652</v>
      </c>
    </row>
    <row r="25">
      <c r="A25" s="1"/>
      <c r="B25" s="1"/>
    </row>
    <row r="26">
      <c r="A26" s="1"/>
      <c r="B26" s="44" t="s">
        <v>59</v>
      </c>
      <c r="E26" s="53" t="s">
        <v>51</v>
      </c>
      <c r="F26" s="53" t="s">
        <v>17</v>
      </c>
      <c r="G26" s="53" t="s">
        <v>18</v>
      </c>
      <c r="H26" s="53" t="s">
        <v>19</v>
      </c>
      <c r="I26" s="53" t="s">
        <v>20</v>
      </c>
      <c r="J26" s="53" t="s">
        <v>21</v>
      </c>
    </row>
    <row r="27">
      <c r="A27" s="1"/>
      <c r="B27" s="43" t="s">
        <v>52</v>
      </c>
      <c r="E27" s="26"/>
      <c r="F27" s="42">
        <f>IPMT($E$5,1,$E$6,-$E$4)</f>
        <v>11600</v>
      </c>
      <c r="G27" s="42">
        <f>IPMT($E$5,2,$E$6,-$E$4)</f>
        <v>11393.17085</v>
      </c>
      <c r="H27" s="42">
        <f>IPMT($E$5,3,$E$6,-$E$4)</f>
        <v>11178.06853</v>
      </c>
      <c r="I27" s="42">
        <f>IPMT($E$5,4,$E$6,-$E$4)</f>
        <v>10954.36213</v>
      </c>
      <c r="J27" s="42">
        <f>IPMT($E$5,5,$E$6,-$E$4)</f>
        <v>10721.70746</v>
      </c>
    </row>
    <row r="28">
      <c r="A28" s="1"/>
      <c r="B28" s="43" t="s">
        <v>53</v>
      </c>
      <c r="E28" s="26"/>
      <c r="F28" s="26"/>
      <c r="G28" s="42">
        <f>IPMT($F$5,1,$F$6,-$F$4)</f>
        <v>0</v>
      </c>
      <c r="H28" s="42">
        <f>IPMT($F$5,2,$F$6,-$F$4)</f>
        <v>0</v>
      </c>
      <c r="I28" s="42">
        <f>IPMT($F$5,3,$F$6,-$F$4)</f>
        <v>0</v>
      </c>
      <c r="J28" s="42">
        <f>IPMT($F$5,4,$F$6,-$F$4)</f>
        <v>0</v>
      </c>
    </row>
    <row r="29">
      <c r="A29" s="1"/>
      <c r="B29" s="43" t="s">
        <v>54</v>
      </c>
      <c r="E29" s="26"/>
      <c r="F29" s="26"/>
      <c r="G29" s="26"/>
      <c r="H29" s="42">
        <f>IPMT($G$5,1,$G$6,-$G$4)</f>
        <v>0</v>
      </c>
      <c r="I29" s="42">
        <f>IPMT($G$5,2,$G$6,-$G$4)</f>
        <v>0</v>
      </c>
      <c r="J29" s="42">
        <f>IPMT($G$5,3,$G$6,-$G$4)</f>
        <v>0</v>
      </c>
    </row>
    <row r="30">
      <c r="A30" s="1"/>
      <c r="B30" s="43" t="s">
        <v>55</v>
      </c>
      <c r="E30" s="26"/>
      <c r="F30" s="26"/>
      <c r="G30" s="26"/>
      <c r="H30" s="26"/>
      <c r="I30" s="42">
        <f>IPMT($H$5,1,$H$6,-$H$4)</f>
        <v>0</v>
      </c>
      <c r="J30" s="42">
        <f>IPMT($H$5,2,$H$6,-$H$4)</f>
        <v>0</v>
      </c>
    </row>
    <row r="31">
      <c r="A31" s="1"/>
      <c r="B31" s="43" t="s">
        <v>56</v>
      </c>
      <c r="E31" s="26"/>
      <c r="F31" s="26"/>
      <c r="G31" s="26"/>
      <c r="H31" s="26"/>
      <c r="I31" s="26"/>
      <c r="J31" s="42">
        <f>IPMT($I$5,1,$I$6,-$I$4)</f>
        <v>0</v>
      </c>
    </row>
    <row r="32">
      <c r="A32" s="1"/>
      <c r="B32" s="43" t="s">
        <v>58</v>
      </c>
      <c r="E32" s="54">
        <f t="shared" ref="E32:J32" si="6">SUMIF(E27:E31,"&gt;0",E27:E31)</f>
        <v>0</v>
      </c>
      <c r="F32" s="54">
        <f t="shared" si="6"/>
        <v>11600</v>
      </c>
      <c r="G32" s="54">
        <f t="shared" si="6"/>
        <v>11393.17085</v>
      </c>
      <c r="H32" s="54">
        <f t="shared" si="6"/>
        <v>11178.06853</v>
      </c>
      <c r="I32" s="54">
        <f t="shared" si="6"/>
        <v>10954.36213</v>
      </c>
      <c r="J32" s="54">
        <f t="shared" si="6"/>
        <v>10721.70746</v>
      </c>
    </row>
    <row r="33">
      <c r="A33" s="1"/>
      <c r="B33" s="1"/>
    </row>
    <row r="34">
      <c r="A34" s="1"/>
      <c r="B34" s="44" t="s">
        <v>60</v>
      </c>
      <c r="E34" s="53" t="s">
        <v>51</v>
      </c>
      <c r="F34" s="53" t="s">
        <v>17</v>
      </c>
      <c r="G34" s="53" t="s">
        <v>18</v>
      </c>
      <c r="H34" s="53" t="s">
        <v>19</v>
      </c>
      <c r="I34" s="53" t="s">
        <v>20</v>
      </c>
      <c r="J34" s="53" t="s">
        <v>21</v>
      </c>
    </row>
    <row r="35">
      <c r="A35" s="1"/>
      <c r="B35" s="43" t="s">
        <v>52</v>
      </c>
      <c r="E35" s="26"/>
      <c r="F35" s="42">
        <f>PPMT($E$5,1,$E$6,-$E$4)</f>
        <v>5170.728749</v>
      </c>
      <c r="G35" s="42">
        <f>PPMT($E$5,2,$E$6,-$E$4)</f>
        <v>5377.557899</v>
      </c>
      <c r="H35" s="42">
        <f>PPMT($E$5,3,$E$6,-$E$4)</f>
        <v>5592.660215</v>
      </c>
      <c r="I35" s="42">
        <f>PPMT($E$5,4,$E$6,-$E$4)</f>
        <v>5816.366623</v>
      </c>
      <c r="J35" s="42">
        <f>PPMT($E$5,5,$E$6,-$E$4)</f>
        <v>6049.021288</v>
      </c>
    </row>
    <row r="36">
      <c r="A36" s="1"/>
      <c r="B36" s="43" t="s">
        <v>53</v>
      </c>
      <c r="E36" s="26"/>
      <c r="F36" s="26"/>
      <c r="G36" s="42">
        <f>PPMT($F$5,1,$F$6,-$F$4)</f>
        <v>0</v>
      </c>
      <c r="H36" s="42">
        <f>PPMT($F$5,2,$F$6,-$F$4)</f>
        <v>0</v>
      </c>
      <c r="I36" s="42">
        <f>PPMT($F$5,3,$F$6,-$F$4)</f>
        <v>0</v>
      </c>
      <c r="J36" s="42">
        <f>PPMT($F$5,4,$F$6,-$F$4)</f>
        <v>0</v>
      </c>
    </row>
    <row r="37">
      <c r="A37" s="1"/>
      <c r="B37" s="43" t="s">
        <v>54</v>
      </c>
      <c r="E37" s="26"/>
      <c r="F37" s="26"/>
      <c r="G37" s="26"/>
      <c r="H37" s="42">
        <f>PPMT($G$5,1,$G$6,-$G$4)</f>
        <v>0</v>
      </c>
      <c r="I37" s="42">
        <f>PPMT($G$5,2,$G$6,-$G$4)</f>
        <v>0</v>
      </c>
      <c r="J37" s="42">
        <f>PPMT($G$5,3,$G$6,-$G$4)</f>
        <v>0</v>
      </c>
    </row>
    <row r="38">
      <c r="A38" s="1"/>
      <c r="B38" s="43" t="s">
        <v>55</v>
      </c>
      <c r="E38" s="26"/>
      <c r="F38" s="26"/>
      <c r="G38" s="26"/>
      <c r="H38" s="26"/>
      <c r="I38" s="42">
        <f>PPMT($H$5,1,$H$6,-$H$4)</f>
        <v>0</v>
      </c>
      <c r="J38" s="42">
        <f>PPMT($H$5,2,$H$6,-$H$4)</f>
        <v>0</v>
      </c>
    </row>
    <row r="39">
      <c r="A39" s="1"/>
      <c r="B39" s="43" t="s">
        <v>56</v>
      </c>
      <c r="E39" s="26"/>
      <c r="F39" s="26"/>
      <c r="G39" s="26"/>
      <c r="H39" s="26"/>
      <c r="I39" s="26"/>
      <c r="J39" s="42">
        <f>PPMT($I$5,1,$I$6,-$I$4)</f>
        <v>0</v>
      </c>
    </row>
    <row r="40">
      <c r="A40" s="1"/>
      <c r="B40" s="43" t="s">
        <v>58</v>
      </c>
      <c r="E40" s="54">
        <f t="shared" ref="E40:J40" si="7">SUMIF(E35:E39,"&gt;0",E35:E39)</f>
        <v>0</v>
      </c>
      <c r="F40" s="54">
        <f t="shared" si="7"/>
        <v>5170.728749</v>
      </c>
      <c r="G40" s="54">
        <f t="shared" si="7"/>
        <v>5377.557899</v>
      </c>
      <c r="H40" s="54">
        <f t="shared" si="7"/>
        <v>5592.660215</v>
      </c>
      <c r="I40" s="54">
        <f t="shared" si="7"/>
        <v>5816.366623</v>
      </c>
      <c r="J40" s="54">
        <f t="shared" si="7"/>
        <v>6049.021288</v>
      </c>
    </row>
  </sheetData>
  <mergeCells count="39">
    <mergeCell ref="B1:D2"/>
    <mergeCell ref="E1:E2"/>
    <mergeCell ref="F1:F2"/>
    <mergeCell ref="G1:G2"/>
    <mergeCell ref="H1:H2"/>
    <mergeCell ref="I1:I2"/>
    <mergeCell ref="J1:J2"/>
    <mergeCell ref="B3:D3"/>
    <mergeCell ref="B4:D4"/>
    <mergeCell ref="B5:C6"/>
    <mergeCell ref="B7:D7"/>
    <mergeCell ref="B9:C10"/>
    <mergeCell ref="D11:E12"/>
    <mergeCell ref="B15:J15"/>
    <mergeCell ref="B16:J16"/>
    <mergeCell ref="B17:D17"/>
    <mergeCell ref="B18:D18"/>
    <mergeCell ref="B19:D19"/>
    <mergeCell ref="B20:D20"/>
    <mergeCell ref="B21:D21"/>
    <mergeCell ref="B22:D22"/>
    <mergeCell ref="B23:D23"/>
    <mergeCell ref="B24:D24"/>
    <mergeCell ref="B25:J25"/>
    <mergeCell ref="B26:D26"/>
    <mergeCell ref="B27:D27"/>
    <mergeCell ref="B28:D28"/>
    <mergeCell ref="B29:D29"/>
    <mergeCell ref="B37:D37"/>
    <mergeCell ref="B38:D38"/>
    <mergeCell ref="B39:D39"/>
    <mergeCell ref="B40:D40"/>
    <mergeCell ref="B30:D30"/>
    <mergeCell ref="B31:D31"/>
    <mergeCell ref="B32:D32"/>
    <mergeCell ref="B33:J33"/>
    <mergeCell ref="B34:D34"/>
    <mergeCell ref="B35:D35"/>
    <mergeCell ref="B36:D3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4.75"/>
  </cols>
  <sheetData>
    <row r="1">
      <c r="A1" s="1"/>
      <c r="B1" s="55" t="s">
        <v>61</v>
      </c>
      <c r="D1" s="56" t="s">
        <v>17</v>
      </c>
      <c r="E1" s="56" t="s">
        <v>18</v>
      </c>
      <c r="F1" s="56" t="s">
        <v>19</v>
      </c>
      <c r="G1" s="56" t="s">
        <v>20</v>
      </c>
      <c r="H1" s="56" t="s">
        <v>21</v>
      </c>
    </row>
    <row r="2">
      <c r="A2" s="1"/>
      <c r="B2" s="57" t="s">
        <v>62</v>
      </c>
      <c r="C2" s="58" t="s">
        <v>63</v>
      </c>
      <c r="D2" s="59">
        <v>108.0</v>
      </c>
      <c r="E2" s="60">
        <v>67.0</v>
      </c>
      <c r="F2" s="60">
        <v>65.0</v>
      </c>
      <c r="G2" s="60">
        <v>70.0</v>
      </c>
      <c r="H2" s="60">
        <v>69.0</v>
      </c>
    </row>
    <row r="3">
      <c r="A3" s="1"/>
      <c r="C3" s="58" t="s">
        <v>64</v>
      </c>
      <c r="D3" s="60">
        <v>18000.0</v>
      </c>
      <c r="E3" s="60">
        <v>18000.0</v>
      </c>
      <c r="F3" s="60">
        <v>18000.0</v>
      </c>
      <c r="G3" s="60">
        <v>18000.0</v>
      </c>
      <c r="H3" s="60">
        <v>18000.0</v>
      </c>
    </row>
    <row r="4">
      <c r="A4" s="1"/>
      <c r="C4" s="58" t="s">
        <v>65</v>
      </c>
      <c r="D4" s="60">
        <f t="shared" ref="D4:H4" si="1">D2*D3</f>
        <v>1944000</v>
      </c>
      <c r="E4" s="60">
        <f t="shared" si="1"/>
        <v>1206000</v>
      </c>
      <c r="F4" s="60">
        <f t="shared" si="1"/>
        <v>1170000</v>
      </c>
      <c r="G4" s="60">
        <f t="shared" si="1"/>
        <v>1260000</v>
      </c>
      <c r="H4" s="60">
        <f t="shared" si="1"/>
        <v>1242000</v>
      </c>
    </row>
    <row r="5">
      <c r="A5" s="1"/>
      <c r="B5" s="57" t="s">
        <v>66</v>
      </c>
      <c r="C5" s="58" t="s">
        <v>63</v>
      </c>
      <c r="D5" s="60">
        <v>43.0</v>
      </c>
      <c r="E5" s="60">
        <v>50.0</v>
      </c>
      <c r="F5" s="60">
        <v>44.0</v>
      </c>
      <c r="G5" s="60">
        <v>55.0</v>
      </c>
      <c r="H5" s="60">
        <v>58.0</v>
      </c>
    </row>
    <row r="6">
      <c r="A6" s="1"/>
      <c r="C6" s="58" t="s">
        <v>64</v>
      </c>
      <c r="D6" s="60">
        <v>22000.0</v>
      </c>
      <c r="E6" s="60">
        <v>22000.0</v>
      </c>
      <c r="F6" s="60">
        <v>22000.0</v>
      </c>
      <c r="G6" s="60">
        <v>22000.0</v>
      </c>
      <c r="H6" s="60">
        <v>22000.0</v>
      </c>
    </row>
    <row r="7">
      <c r="A7" s="1"/>
      <c r="C7" s="58" t="s">
        <v>65</v>
      </c>
      <c r="D7" s="60">
        <f t="shared" ref="D7:H7" si="2">D5*D6</f>
        <v>946000</v>
      </c>
      <c r="E7" s="60">
        <f t="shared" si="2"/>
        <v>1100000</v>
      </c>
      <c r="F7" s="60">
        <f t="shared" si="2"/>
        <v>968000</v>
      </c>
      <c r="G7" s="60">
        <f t="shared" si="2"/>
        <v>1210000</v>
      </c>
      <c r="H7" s="60">
        <f t="shared" si="2"/>
        <v>1276000</v>
      </c>
    </row>
    <row r="8">
      <c r="A8" s="1"/>
      <c r="B8" s="57" t="s">
        <v>67</v>
      </c>
      <c r="C8" s="58" t="s">
        <v>65</v>
      </c>
      <c r="D8" s="60">
        <v>60000.0</v>
      </c>
      <c r="E8" s="60">
        <v>170000.0</v>
      </c>
      <c r="F8" s="60">
        <v>300000.0</v>
      </c>
      <c r="G8" s="60">
        <v>350000.0</v>
      </c>
      <c r="H8" s="60">
        <v>370000.0</v>
      </c>
    </row>
    <row r="9">
      <c r="A9" s="1"/>
      <c r="B9" s="58" t="s">
        <v>68</v>
      </c>
      <c r="D9" s="61">
        <f t="shared" ref="D9:H9" si="3">D4+D7++D8</f>
        <v>2950000</v>
      </c>
      <c r="E9" s="61">
        <f t="shared" si="3"/>
        <v>2476000</v>
      </c>
      <c r="F9" s="61">
        <f t="shared" si="3"/>
        <v>2438000</v>
      </c>
      <c r="G9" s="61">
        <f t="shared" si="3"/>
        <v>2820000</v>
      </c>
      <c r="H9" s="61">
        <f t="shared" si="3"/>
        <v>2888000</v>
      </c>
    </row>
    <row r="10">
      <c r="A10" s="1"/>
      <c r="B10" s="1"/>
      <c r="C10" s="1"/>
      <c r="D10" s="26"/>
      <c r="E10" s="26"/>
      <c r="F10" s="26"/>
      <c r="G10" s="26"/>
      <c r="H10" s="26"/>
    </row>
    <row r="11">
      <c r="A11" s="1"/>
      <c r="B11" s="58" t="s">
        <v>69</v>
      </c>
      <c r="D11" s="62">
        <v>50.0</v>
      </c>
      <c r="E11" s="26"/>
      <c r="F11" s="26"/>
      <c r="G11" s="26"/>
      <c r="H11" s="26"/>
    </row>
    <row r="12">
      <c r="A12" s="1"/>
      <c r="B12" s="1"/>
      <c r="C12" s="1"/>
      <c r="D12" s="26"/>
      <c r="E12" s="26"/>
      <c r="F12" s="26"/>
      <c r="G12" s="26"/>
      <c r="H12" s="26"/>
    </row>
    <row r="13">
      <c r="A13" s="1"/>
      <c r="B13" s="58" t="s">
        <v>70</v>
      </c>
      <c r="C13" s="1"/>
      <c r="D13" s="61">
        <f t="shared" ref="D13:H13" si="4">D9*$D$11/365</f>
        <v>404109.589</v>
      </c>
      <c r="E13" s="61">
        <f t="shared" si="4"/>
        <v>339178.0822</v>
      </c>
      <c r="F13" s="61">
        <f t="shared" si="4"/>
        <v>333972.6027</v>
      </c>
      <c r="G13" s="61">
        <f t="shared" si="4"/>
        <v>386301.3699</v>
      </c>
      <c r="H13" s="61">
        <f t="shared" si="4"/>
        <v>395616.4384</v>
      </c>
    </row>
    <row r="14">
      <c r="A14" s="1"/>
      <c r="B14" s="1"/>
      <c r="C14" s="1"/>
      <c r="D14" s="63"/>
      <c r="E14" s="26"/>
      <c r="F14" s="26"/>
      <c r="G14" s="26"/>
      <c r="H14" s="26"/>
    </row>
    <row r="15">
      <c r="A15" s="1"/>
      <c r="B15" s="55" t="s">
        <v>71</v>
      </c>
      <c r="D15" s="64" t="s">
        <v>17</v>
      </c>
      <c r="E15" s="64" t="s">
        <v>18</v>
      </c>
      <c r="F15" s="64" t="s">
        <v>19</v>
      </c>
      <c r="G15" s="64" t="s">
        <v>20</v>
      </c>
      <c r="H15" s="64" t="s">
        <v>21</v>
      </c>
    </row>
    <row r="16">
      <c r="A16" s="1"/>
      <c r="B16" s="57" t="s">
        <v>62</v>
      </c>
      <c r="C16" s="58" t="s">
        <v>63</v>
      </c>
      <c r="D16" s="59">
        <v>105.0</v>
      </c>
      <c r="E16" s="60">
        <v>67.0</v>
      </c>
      <c r="F16" s="60">
        <v>65.0</v>
      </c>
      <c r="G16" s="60">
        <v>70.0</v>
      </c>
      <c r="H16" s="60">
        <v>69.0</v>
      </c>
    </row>
    <row r="17">
      <c r="A17" s="1"/>
      <c r="C17" s="58" t="s">
        <v>64</v>
      </c>
      <c r="D17" s="60">
        <v>16000.0</v>
      </c>
      <c r="E17" s="60">
        <v>16000.0</v>
      </c>
      <c r="F17" s="60">
        <v>16000.0</v>
      </c>
      <c r="G17" s="60">
        <v>16000.0</v>
      </c>
      <c r="H17" s="60">
        <v>16000.0</v>
      </c>
    </row>
    <row r="18">
      <c r="A18" s="1"/>
      <c r="C18" s="58" t="s">
        <v>72</v>
      </c>
      <c r="D18" s="60">
        <f t="shared" ref="D18:H18" si="5">D16*D17</f>
        <v>1680000</v>
      </c>
      <c r="E18" s="60">
        <f t="shared" si="5"/>
        <v>1072000</v>
      </c>
      <c r="F18" s="60">
        <f t="shared" si="5"/>
        <v>1040000</v>
      </c>
      <c r="G18" s="60">
        <f t="shared" si="5"/>
        <v>1120000</v>
      </c>
      <c r="H18" s="60">
        <f t="shared" si="5"/>
        <v>1104000</v>
      </c>
    </row>
    <row r="19">
      <c r="A19" s="1"/>
      <c r="B19" s="57" t="s">
        <v>66</v>
      </c>
      <c r="C19" s="58" t="s">
        <v>63</v>
      </c>
      <c r="D19" s="60">
        <v>44.0</v>
      </c>
      <c r="E19" s="60">
        <v>51.0</v>
      </c>
      <c r="F19" s="60">
        <v>44.0</v>
      </c>
      <c r="G19" s="60">
        <v>55.0</v>
      </c>
      <c r="H19" s="60">
        <v>58.0</v>
      </c>
    </row>
    <row r="20">
      <c r="A20" s="1"/>
      <c r="C20" s="58" t="s">
        <v>64</v>
      </c>
      <c r="D20" s="60">
        <v>19000.0</v>
      </c>
      <c r="E20" s="60">
        <v>19000.0</v>
      </c>
      <c r="F20" s="60">
        <v>19000.0</v>
      </c>
      <c r="G20" s="60">
        <v>19000.0</v>
      </c>
      <c r="H20" s="60">
        <v>19000.0</v>
      </c>
    </row>
    <row r="21">
      <c r="A21" s="1"/>
      <c r="C21" s="58" t="s">
        <v>72</v>
      </c>
      <c r="D21" s="60">
        <f t="shared" ref="D21:H21" si="6">D19*D20</f>
        <v>836000</v>
      </c>
      <c r="E21" s="60">
        <f t="shared" si="6"/>
        <v>969000</v>
      </c>
      <c r="F21" s="60">
        <f t="shared" si="6"/>
        <v>836000</v>
      </c>
      <c r="G21" s="60">
        <f t="shared" si="6"/>
        <v>1045000</v>
      </c>
      <c r="H21" s="60">
        <f t="shared" si="6"/>
        <v>1102000</v>
      </c>
    </row>
    <row r="22">
      <c r="A22" s="1"/>
      <c r="B22" s="65" t="s">
        <v>73</v>
      </c>
      <c r="C22" s="58" t="s">
        <v>72</v>
      </c>
      <c r="D22" s="60">
        <v>33000.0</v>
      </c>
      <c r="E22" s="60">
        <v>62000.0</v>
      </c>
      <c r="F22" s="60">
        <v>86000.0</v>
      </c>
      <c r="G22" s="60">
        <v>103000.0</v>
      </c>
      <c r="H22" s="60">
        <v>105000.0</v>
      </c>
    </row>
    <row r="23">
      <c r="A23" s="1"/>
      <c r="B23" s="65" t="s">
        <v>74</v>
      </c>
      <c r="C23" s="58" t="s">
        <v>72</v>
      </c>
      <c r="D23" s="60">
        <v>12000.0</v>
      </c>
      <c r="E23" s="60">
        <v>20000.0</v>
      </c>
      <c r="F23" s="60">
        <v>27000.0</v>
      </c>
      <c r="G23" s="60">
        <v>33000.0</v>
      </c>
      <c r="H23" s="60">
        <v>33500.0</v>
      </c>
    </row>
    <row r="24">
      <c r="A24" s="1"/>
      <c r="B24" s="58" t="s">
        <v>75</v>
      </c>
      <c r="D24" s="61">
        <f t="shared" ref="D24:H24" si="7">D18+D21+D23</f>
        <v>2528000</v>
      </c>
      <c r="E24" s="61">
        <f t="shared" si="7"/>
        <v>2061000</v>
      </c>
      <c r="F24" s="61">
        <f t="shared" si="7"/>
        <v>1903000</v>
      </c>
      <c r="G24" s="61">
        <f t="shared" si="7"/>
        <v>2198000</v>
      </c>
      <c r="H24" s="61">
        <f t="shared" si="7"/>
        <v>2239500</v>
      </c>
    </row>
    <row r="25">
      <c r="A25" s="1"/>
      <c r="B25" s="1"/>
      <c r="C25" s="1"/>
      <c r="D25" s="26"/>
      <c r="E25" s="26"/>
      <c r="F25" s="26"/>
      <c r="G25" s="26"/>
      <c r="H25" s="26"/>
    </row>
    <row r="26">
      <c r="A26" s="1"/>
      <c r="B26" s="58" t="s">
        <v>76</v>
      </c>
      <c r="C26" s="1"/>
      <c r="D26" s="62">
        <v>50.0</v>
      </c>
      <c r="E26" s="26"/>
      <c r="F26" s="26"/>
      <c r="G26" s="26"/>
      <c r="H26" s="26"/>
    </row>
    <row r="27">
      <c r="A27" s="1"/>
      <c r="B27" s="1"/>
      <c r="C27" s="1"/>
      <c r="D27" s="26"/>
      <c r="E27" s="26"/>
      <c r="F27" s="26"/>
      <c r="G27" s="26"/>
      <c r="H27" s="26"/>
    </row>
    <row r="28">
      <c r="A28" s="1"/>
      <c r="B28" s="58" t="s">
        <v>77</v>
      </c>
      <c r="C28" s="1"/>
      <c r="D28" s="60">
        <f t="shared" ref="D28:H28" si="8">D24*$D$26/365</f>
        <v>346301.3699</v>
      </c>
      <c r="E28" s="60">
        <f t="shared" si="8"/>
        <v>282328.7671</v>
      </c>
      <c r="F28" s="60">
        <f t="shared" si="8"/>
        <v>260684.9315</v>
      </c>
      <c r="G28" s="60">
        <f t="shared" si="8"/>
        <v>301095.8904</v>
      </c>
      <c r="H28" s="60">
        <f t="shared" si="8"/>
        <v>306780.8219</v>
      </c>
    </row>
    <row r="29">
      <c r="A29" s="1"/>
      <c r="B29" s="1"/>
      <c r="C29" s="1"/>
      <c r="D29" s="26"/>
      <c r="E29" s="26"/>
      <c r="F29" s="26"/>
      <c r="G29" s="26"/>
      <c r="H29" s="26"/>
    </row>
    <row r="30">
      <c r="A30" s="1"/>
      <c r="B30" s="55" t="s">
        <v>78</v>
      </c>
      <c r="D30" s="64" t="s">
        <v>17</v>
      </c>
      <c r="E30" s="64" t="s">
        <v>18</v>
      </c>
      <c r="F30" s="64" t="s">
        <v>19</v>
      </c>
      <c r="G30" s="64" t="s">
        <v>20</v>
      </c>
      <c r="H30" s="64" t="s">
        <v>21</v>
      </c>
    </row>
    <row r="31">
      <c r="A31" s="1"/>
      <c r="B31" s="57" t="s">
        <v>62</v>
      </c>
      <c r="C31" s="58" t="s">
        <v>63</v>
      </c>
      <c r="D31" s="60">
        <f>D16-D2</f>
        <v>-3</v>
      </c>
      <c r="E31" s="60">
        <f t="shared" ref="E31:H31" si="9">E16-E2+D31</f>
        <v>-3</v>
      </c>
      <c r="F31" s="60">
        <f t="shared" si="9"/>
        <v>-3</v>
      </c>
      <c r="G31" s="60">
        <f t="shared" si="9"/>
        <v>-3</v>
      </c>
      <c r="H31" s="60">
        <f t="shared" si="9"/>
        <v>-3</v>
      </c>
    </row>
    <row r="32">
      <c r="A32" s="1"/>
      <c r="C32" s="58" t="s">
        <v>64</v>
      </c>
      <c r="D32" s="60">
        <v>16000.0</v>
      </c>
      <c r="E32" s="60">
        <v>16000.0</v>
      </c>
      <c r="F32" s="60">
        <v>16000.0</v>
      </c>
      <c r="G32" s="60">
        <v>16000.0</v>
      </c>
      <c r="H32" s="60">
        <v>16000.0</v>
      </c>
    </row>
    <row r="33">
      <c r="A33" s="1"/>
      <c r="C33" s="58" t="s">
        <v>72</v>
      </c>
      <c r="D33" s="60">
        <f t="shared" ref="D33:H33" si="10">D31*D32</f>
        <v>-48000</v>
      </c>
      <c r="E33" s="60">
        <f t="shared" si="10"/>
        <v>-48000</v>
      </c>
      <c r="F33" s="60">
        <f t="shared" si="10"/>
        <v>-48000</v>
      </c>
      <c r="G33" s="60">
        <f t="shared" si="10"/>
        <v>-48000</v>
      </c>
      <c r="H33" s="60">
        <f t="shared" si="10"/>
        <v>-48000</v>
      </c>
    </row>
    <row r="34">
      <c r="A34" s="1"/>
      <c r="B34" s="57" t="s">
        <v>66</v>
      </c>
      <c r="C34" s="58" t="s">
        <v>63</v>
      </c>
      <c r="D34" s="60">
        <f>D19-D5</f>
        <v>1</v>
      </c>
      <c r="E34" s="60">
        <f t="shared" ref="E34:H34" si="11">E19-E5+D34</f>
        <v>2</v>
      </c>
      <c r="F34" s="60">
        <f t="shared" si="11"/>
        <v>2</v>
      </c>
      <c r="G34" s="60">
        <f t="shared" si="11"/>
        <v>2</v>
      </c>
      <c r="H34" s="60">
        <f t="shared" si="11"/>
        <v>2</v>
      </c>
    </row>
    <row r="35">
      <c r="A35" s="1"/>
      <c r="C35" s="58" t="s">
        <v>64</v>
      </c>
      <c r="D35" s="60">
        <v>20000.0</v>
      </c>
      <c r="E35" s="60">
        <v>20000.0</v>
      </c>
      <c r="F35" s="60">
        <v>20000.0</v>
      </c>
      <c r="G35" s="60">
        <v>20000.0</v>
      </c>
      <c r="H35" s="60">
        <v>20000.0</v>
      </c>
    </row>
    <row r="36">
      <c r="A36" s="1"/>
      <c r="C36" s="58" t="s">
        <v>72</v>
      </c>
      <c r="D36" s="60">
        <f t="shared" ref="D36:H36" si="12">D34*D35</f>
        <v>20000</v>
      </c>
      <c r="E36" s="60">
        <f t="shared" si="12"/>
        <v>40000</v>
      </c>
      <c r="F36" s="60">
        <f t="shared" si="12"/>
        <v>40000</v>
      </c>
      <c r="G36" s="60">
        <f t="shared" si="12"/>
        <v>40000</v>
      </c>
      <c r="H36" s="60">
        <f t="shared" si="12"/>
        <v>40000</v>
      </c>
    </row>
    <row r="37">
      <c r="A37" s="1"/>
      <c r="B37" s="65" t="s">
        <v>73</v>
      </c>
      <c r="C37" s="58" t="s">
        <v>72</v>
      </c>
      <c r="D37" s="60">
        <v>3000.0</v>
      </c>
      <c r="E37" s="60">
        <v>5500.0</v>
      </c>
      <c r="F37" s="60">
        <v>7000.0</v>
      </c>
      <c r="G37" s="60">
        <v>8500.0</v>
      </c>
      <c r="H37" s="60">
        <v>7900.0</v>
      </c>
    </row>
    <row r="38">
      <c r="A38" s="1"/>
      <c r="B38" s="65" t="s">
        <v>74</v>
      </c>
      <c r="C38" s="58" t="s">
        <v>72</v>
      </c>
      <c r="D38" s="60">
        <v>500.0</v>
      </c>
      <c r="E38" s="60">
        <v>700.0</v>
      </c>
      <c r="F38" s="60">
        <v>700.0</v>
      </c>
      <c r="G38" s="60">
        <v>1200.0</v>
      </c>
      <c r="H38" s="60">
        <v>900.0</v>
      </c>
    </row>
    <row r="39">
      <c r="A39" s="1"/>
      <c r="B39" s="58" t="s">
        <v>79</v>
      </c>
      <c r="D39" s="61">
        <f t="shared" ref="D39:H39" si="13">D33+D36+D37+D38</f>
        <v>-24500</v>
      </c>
      <c r="E39" s="61">
        <f t="shared" si="13"/>
        <v>-1800</v>
      </c>
      <c r="F39" s="61">
        <f t="shared" si="13"/>
        <v>-300</v>
      </c>
      <c r="G39" s="61">
        <f t="shared" si="13"/>
        <v>1700</v>
      </c>
      <c r="H39" s="61">
        <f t="shared" si="13"/>
        <v>800</v>
      </c>
    </row>
    <row r="40">
      <c r="A40" s="1"/>
      <c r="B40" s="1"/>
      <c r="C40" s="1"/>
      <c r="D40" s="1"/>
      <c r="E40" s="1"/>
      <c r="F40" s="1"/>
      <c r="G40" s="1"/>
      <c r="H40" s="1"/>
    </row>
    <row r="41">
      <c r="A41" s="1"/>
      <c r="B41" s="55" t="s">
        <v>80</v>
      </c>
      <c r="D41" s="66" t="s">
        <v>17</v>
      </c>
      <c r="E41" s="66" t="s">
        <v>18</v>
      </c>
      <c r="F41" s="66" t="s">
        <v>19</v>
      </c>
      <c r="G41" s="66" t="s">
        <v>20</v>
      </c>
      <c r="H41" s="66" t="s">
        <v>21</v>
      </c>
    </row>
    <row r="42">
      <c r="A42" s="1"/>
      <c r="B42" s="67" t="str">
        <f>B31</f>
        <v>Modelo A</v>
      </c>
      <c r="D42" s="60">
        <f>D33-Inversiones!$D$11</f>
        <v>-48000</v>
      </c>
      <c r="E42" s="60">
        <f t="shared" ref="E42:H42" si="14">E33-D33</f>
        <v>0</v>
      </c>
      <c r="F42" s="60">
        <f t="shared" si="14"/>
        <v>0</v>
      </c>
      <c r="G42" s="60">
        <f t="shared" si="14"/>
        <v>0</v>
      </c>
      <c r="H42" s="60">
        <f t="shared" si="14"/>
        <v>0</v>
      </c>
    </row>
    <row r="43">
      <c r="A43" s="1"/>
      <c r="B43" s="67" t="str">
        <f>B34</f>
        <v>Modelo B</v>
      </c>
      <c r="D43" s="60">
        <f>D36-Inversiones!$D$11</f>
        <v>20000</v>
      </c>
      <c r="E43" s="60">
        <f t="shared" ref="E43:H43" si="15">E36-D36</f>
        <v>20000</v>
      </c>
      <c r="F43" s="60">
        <f t="shared" si="15"/>
        <v>0</v>
      </c>
      <c r="G43" s="60">
        <f t="shared" si="15"/>
        <v>0</v>
      </c>
      <c r="H43" s="60">
        <f t="shared" si="15"/>
        <v>0</v>
      </c>
    </row>
    <row r="44">
      <c r="A44" s="1"/>
      <c r="B44" s="67" t="str">
        <f t="shared" ref="B44:B45" si="17">B37</f>
        <v>Piezas</v>
      </c>
      <c r="D44" s="60">
        <f>D37-Inversiones!$D$11</f>
        <v>3000</v>
      </c>
      <c r="E44" s="60">
        <f t="shared" ref="E44:H44" si="16">E37-D37</f>
        <v>2500</v>
      </c>
      <c r="F44" s="60">
        <f t="shared" si="16"/>
        <v>1500</v>
      </c>
      <c r="G44" s="60">
        <f t="shared" si="16"/>
        <v>1500</v>
      </c>
      <c r="H44" s="60">
        <f t="shared" si="16"/>
        <v>-600</v>
      </c>
    </row>
    <row r="45">
      <c r="A45" s="1"/>
      <c r="B45" s="67" t="str">
        <f t="shared" si="17"/>
        <v>Materiales</v>
      </c>
      <c r="D45" s="60">
        <f>D38-Inversiones!$D$11</f>
        <v>500</v>
      </c>
      <c r="E45" s="60">
        <f t="shared" ref="E45:H45" si="18">E38-D38</f>
        <v>200</v>
      </c>
      <c r="F45" s="60">
        <f t="shared" si="18"/>
        <v>0</v>
      </c>
      <c r="G45" s="60">
        <f t="shared" si="18"/>
        <v>500</v>
      </c>
      <c r="H45" s="60">
        <f t="shared" si="18"/>
        <v>-300</v>
      </c>
    </row>
    <row r="46">
      <c r="A46" s="1"/>
      <c r="B46" s="58" t="s">
        <v>39</v>
      </c>
      <c r="D46" s="61">
        <f t="shared" ref="D46:H46" si="19">SUM(D42:D45)</f>
        <v>-24500</v>
      </c>
      <c r="E46" s="61">
        <f t="shared" si="19"/>
        <v>22700</v>
      </c>
      <c r="F46" s="61">
        <f t="shared" si="19"/>
        <v>1500</v>
      </c>
      <c r="G46" s="61">
        <f t="shared" si="19"/>
        <v>2000</v>
      </c>
      <c r="H46" s="61">
        <f t="shared" si="19"/>
        <v>-900</v>
      </c>
    </row>
  </sheetData>
  <mergeCells count="19">
    <mergeCell ref="B1:C1"/>
    <mergeCell ref="B2:B4"/>
    <mergeCell ref="B5:B7"/>
    <mergeCell ref="B9:C9"/>
    <mergeCell ref="B11:C11"/>
    <mergeCell ref="B15:C15"/>
    <mergeCell ref="B16:B18"/>
    <mergeCell ref="B42:C42"/>
    <mergeCell ref="B43:C43"/>
    <mergeCell ref="B44:C44"/>
    <mergeCell ref="B45:C45"/>
    <mergeCell ref="B46:C46"/>
    <mergeCell ref="B19:B21"/>
    <mergeCell ref="B24:C24"/>
    <mergeCell ref="B30:C30"/>
    <mergeCell ref="B31:B33"/>
    <mergeCell ref="B34:B36"/>
    <mergeCell ref="B39:C39"/>
    <mergeCell ref="B41:C4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88"/>
  </cols>
  <sheetData>
    <row r="1">
      <c r="A1" s="1"/>
      <c r="B1" s="68" t="s">
        <v>81</v>
      </c>
      <c r="C1" s="69" t="s">
        <v>82</v>
      </c>
      <c r="D1" s="69" t="s">
        <v>17</v>
      </c>
      <c r="E1" s="69" t="s">
        <v>18</v>
      </c>
      <c r="F1" s="69" t="s">
        <v>19</v>
      </c>
      <c r="G1" s="69" t="s">
        <v>20</v>
      </c>
      <c r="H1" s="69" t="s">
        <v>21</v>
      </c>
    </row>
    <row r="2">
      <c r="A2" s="1"/>
      <c r="B2" s="67" t="s">
        <v>83</v>
      </c>
      <c r="C2" s="70">
        <v>3000.0</v>
      </c>
      <c r="D2" s="71">
        <f>C2*12*C4</f>
        <v>144000</v>
      </c>
      <c r="E2" s="71">
        <f>$C$2*12*(1+$C$3)^2*C5</f>
        <v>224726.4</v>
      </c>
      <c r="F2" s="71">
        <f>$C$2*12*(1+$C$3)^3*C6</f>
        <v>267424.416</v>
      </c>
      <c r="G2" s="71">
        <f>$C$2*12*(1+$C$3)^4*C7</f>
        <v>272772.9043</v>
      </c>
      <c r="H2" s="71">
        <f>$C$2*12*(1+$C$3)^5*C8</f>
        <v>278228.3624</v>
      </c>
    </row>
    <row r="3">
      <c r="A3" s="1"/>
      <c r="B3" s="67" t="s">
        <v>84</v>
      </c>
      <c r="C3" s="72">
        <v>0.02</v>
      </c>
      <c r="D3" s="1"/>
      <c r="E3" s="1"/>
      <c r="F3" s="1"/>
      <c r="G3" s="1"/>
      <c r="H3" s="1"/>
    </row>
    <row r="4">
      <c r="A4" s="1"/>
      <c r="B4" s="67" t="s">
        <v>85</v>
      </c>
      <c r="C4" s="73">
        <v>4.0</v>
      </c>
      <c r="D4" s="1"/>
      <c r="E4" s="1"/>
      <c r="F4" s="1"/>
      <c r="G4" s="1"/>
      <c r="H4" s="1"/>
    </row>
    <row r="5">
      <c r="A5" s="1"/>
      <c r="B5" s="67" t="s">
        <v>86</v>
      </c>
      <c r="C5" s="73">
        <v>6.0</v>
      </c>
      <c r="D5" s="1"/>
      <c r="E5" s="1"/>
      <c r="F5" s="1"/>
      <c r="G5" s="1"/>
      <c r="H5" s="1"/>
    </row>
    <row r="6">
      <c r="A6" s="1"/>
      <c r="B6" s="67" t="s">
        <v>87</v>
      </c>
      <c r="C6" s="73">
        <v>7.0</v>
      </c>
      <c r="D6" s="1"/>
      <c r="E6" s="1"/>
      <c r="F6" s="1"/>
      <c r="G6" s="1"/>
      <c r="H6" s="1"/>
    </row>
    <row r="7">
      <c r="A7" s="1"/>
      <c r="B7" s="67" t="s">
        <v>88</v>
      </c>
      <c r="C7" s="73">
        <v>7.0</v>
      </c>
      <c r="D7" s="1"/>
      <c r="E7" s="1"/>
      <c r="F7" s="1"/>
      <c r="G7" s="1"/>
      <c r="H7" s="1"/>
    </row>
    <row r="8">
      <c r="A8" s="1"/>
      <c r="B8" s="67" t="s">
        <v>89</v>
      </c>
      <c r="C8" s="73">
        <v>7.0</v>
      </c>
      <c r="D8" s="26"/>
      <c r="E8" s="26"/>
      <c r="F8" s="26"/>
      <c r="G8" s="26"/>
      <c r="H8" s="26"/>
    </row>
    <row r="9">
      <c r="A9" s="1"/>
      <c r="B9" s="67" t="s">
        <v>90</v>
      </c>
      <c r="C9" s="1"/>
      <c r="D9" s="71">
        <f t="shared" ref="D9:H9" si="1">D2</f>
        <v>144000</v>
      </c>
      <c r="E9" s="71">
        <f t="shared" si="1"/>
        <v>224726.4</v>
      </c>
      <c r="F9" s="71">
        <f t="shared" si="1"/>
        <v>267424.416</v>
      </c>
      <c r="G9" s="71">
        <f t="shared" si="1"/>
        <v>272772.9043</v>
      </c>
      <c r="H9" s="71">
        <f t="shared" si="1"/>
        <v>278228.3624</v>
      </c>
    </row>
    <row r="10">
      <c r="A10" s="1"/>
      <c r="B10" s="1"/>
      <c r="C10" s="1"/>
      <c r="D10" s="26"/>
      <c r="E10" s="26"/>
      <c r="F10" s="26"/>
      <c r="G10" s="26"/>
      <c r="H10" s="26"/>
    </row>
    <row r="11">
      <c r="A11" s="1"/>
      <c r="B11" s="1"/>
      <c r="C11" s="1"/>
      <c r="D11" s="26"/>
      <c r="E11" s="26"/>
      <c r="F11" s="26"/>
      <c r="G11" s="26"/>
      <c r="H11" s="26"/>
    </row>
    <row r="12">
      <c r="A12" s="1"/>
      <c r="B12" s="68" t="s">
        <v>91</v>
      </c>
      <c r="C12" s="1"/>
      <c r="D12" s="26"/>
      <c r="E12" s="26"/>
      <c r="F12" s="26"/>
      <c r="G12" s="26"/>
      <c r="H12" s="26"/>
    </row>
    <row r="13">
      <c r="A13" s="1"/>
      <c r="B13" s="67" t="s">
        <v>92</v>
      </c>
      <c r="C13" s="71">
        <v>3000.0</v>
      </c>
      <c r="D13" s="71">
        <f>C13*12</f>
        <v>36000</v>
      </c>
      <c r="E13" s="71">
        <f t="shared" ref="E13:H13" si="2">D13*(1+$C$14)</f>
        <v>36720</v>
      </c>
      <c r="F13" s="71">
        <f t="shared" si="2"/>
        <v>37454.4</v>
      </c>
      <c r="G13" s="71">
        <f t="shared" si="2"/>
        <v>38203.488</v>
      </c>
      <c r="H13" s="71">
        <f t="shared" si="2"/>
        <v>38967.55776</v>
      </c>
    </row>
    <row r="14">
      <c r="A14" s="1"/>
      <c r="B14" s="67" t="s">
        <v>93</v>
      </c>
      <c r="C14" s="72">
        <v>0.02</v>
      </c>
      <c r="D14" s="1"/>
      <c r="E14" s="1"/>
      <c r="F14" s="1"/>
      <c r="G14" s="1"/>
      <c r="H14" s="1"/>
    </row>
    <row r="15">
      <c r="A15" s="1"/>
      <c r="B15" s="1"/>
      <c r="C15" s="74"/>
      <c r="D15" s="1"/>
      <c r="E15" s="1"/>
      <c r="F15" s="1"/>
      <c r="G15" s="1"/>
      <c r="H15" s="1"/>
    </row>
    <row r="16">
      <c r="A16" s="1"/>
      <c r="B16" s="1"/>
      <c r="C16" s="1"/>
      <c r="D16" s="1"/>
      <c r="E16" s="1"/>
      <c r="F16" s="1"/>
      <c r="G16" s="1"/>
      <c r="H16" s="1"/>
    </row>
    <row r="17">
      <c r="A17" s="1"/>
      <c r="B17" s="68" t="s">
        <v>94</v>
      </c>
      <c r="C17" s="1"/>
      <c r="D17" s="1"/>
      <c r="E17" s="1"/>
      <c r="F17" s="1"/>
      <c r="G17" s="1"/>
      <c r="H17" s="1"/>
    </row>
    <row r="18">
      <c r="A18" s="1"/>
      <c r="B18" s="67" t="s">
        <v>95</v>
      </c>
      <c r="C18" s="71">
        <v>2500.0</v>
      </c>
      <c r="D18" s="71">
        <f>C18*12</f>
        <v>30000</v>
      </c>
      <c r="E18" s="71">
        <f t="shared" ref="E18:H18" si="3">D18*(1+$C$14)</f>
        <v>30600</v>
      </c>
      <c r="F18" s="71">
        <f t="shared" si="3"/>
        <v>31212</v>
      </c>
      <c r="G18" s="71">
        <f t="shared" si="3"/>
        <v>31836.24</v>
      </c>
      <c r="H18" s="71">
        <f t="shared" si="3"/>
        <v>32472.9648</v>
      </c>
    </row>
    <row r="19">
      <c r="A19" s="1"/>
      <c r="B19" s="67" t="s">
        <v>93</v>
      </c>
      <c r="C19" s="72">
        <v>0.02</v>
      </c>
      <c r="D19" s="1"/>
      <c r="E19" s="1"/>
      <c r="F19" s="1"/>
      <c r="G19" s="1"/>
      <c r="H19" s="1"/>
    </row>
    <row r="20">
      <c r="A20" s="1"/>
      <c r="B20" s="1"/>
      <c r="C20" s="1"/>
      <c r="D20" s="1"/>
      <c r="E20" s="1"/>
      <c r="F20" s="1"/>
      <c r="G20" s="1"/>
      <c r="H20" s="1"/>
    </row>
    <row r="21">
      <c r="A21" s="1"/>
      <c r="B21" s="1"/>
      <c r="C21" s="1"/>
      <c r="D21" s="1"/>
      <c r="E21" s="1"/>
      <c r="F21" s="1"/>
      <c r="G21" s="1"/>
      <c r="H21" s="1"/>
    </row>
    <row r="22">
      <c r="A22" s="1"/>
      <c r="B22" s="68" t="s">
        <v>96</v>
      </c>
      <c r="C22" s="1"/>
      <c r="D22" s="26"/>
      <c r="E22" s="1"/>
      <c r="F22" s="1"/>
      <c r="G22" s="1"/>
      <c r="H22" s="1"/>
    </row>
    <row r="23">
      <c r="A23" s="1"/>
      <c r="B23" s="67" t="s">
        <v>97</v>
      </c>
      <c r="C23" s="71">
        <v>350.0</v>
      </c>
      <c r="D23" s="71">
        <f t="shared" ref="D23:D27" si="5">C23*12</f>
        <v>4200</v>
      </c>
      <c r="E23" s="71">
        <f t="shared" ref="E23:H23" si="4">D23*(1+$C$28)</f>
        <v>4263</v>
      </c>
      <c r="F23" s="71">
        <f t="shared" si="4"/>
        <v>4326.945</v>
      </c>
      <c r="G23" s="71">
        <f t="shared" si="4"/>
        <v>4391.849175</v>
      </c>
      <c r="H23" s="71">
        <f t="shared" si="4"/>
        <v>4457.726913</v>
      </c>
    </row>
    <row r="24">
      <c r="A24" s="1"/>
      <c r="B24" s="67" t="s">
        <v>98</v>
      </c>
      <c r="C24" s="71">
        <v>80.0</v>
      </c>
      <c r="D24" s="71">
        <f t="shared" si="5"/>
        <v>960</v>
      </c>
      <c r="E24" s="71">
        <f t="shared" ref="E24:H24" si="6">D24*(1+$C$28)</f>
        <v>974.4</v>
      </c>
      <c r="F24" s="71">
        <f t="shared" si="6"/>
        <v>989.016</v>
      </c>
      <c r="G24" s="71">
        <f t="shared" si="6"/>
        <v>1003.85124</v>
      </c>
      <c r="H24" s="71">
        <f t="shared" si="6"/>
        <v>1018.909009</v>
      </c>
    </row>
    <row r="25">
      <c r="A25" s="1"/>
      <c r="B25" s="67" t="s">
        <v>99</v>
      </c>
      <c r="C25" s="71">
        <v>300.0</v>
      </c>
      <c r="D25" s="71">
        <f t="shared" si="5"/>
        <v>3600</v>
      </c>
      <c r="E25" s="71">
        <f t="shared" ref="E25:H25" si="7">D25*(1+$C$28)</f>
        <v>3654</v>
      </c>
      <c r="F25" s="71">
        <f t="shared" si="7"/>
        <v>3708.81</v>
      </c>
      <c r="G25" s="71">
        <f t="shared" si="7"/>
        <v>3764.44215</v>
      </c>
      <c r="H25" s="71">
        <f t="shared" si="7"/>
        <v>3820.908782</v>
      </c>
    </row>
    <row r="26">
      <c r="A26" s="1"/>
      <c r="B26" s="67" t="s">
        <v>100</v>
      </c>
      <c r="C26" s="71">
        <v>3000.0</v>
      </c>
      <c r="D26" s="71">
        <f t="shared" si="5"/>
        <v>36000</v>
      </c>
      <c r="E26" s="71">
        <f t="shared" ref="E26:H26" si="8">D26*(1+$C$28)</f>
        <v>36540</v>
      </c>
      <c r="F26" s="71">
        <f t="shared" si="8"/>
        <v>37088.1</v>
      </c>
      <c r="G26" s="71">
        <f t="shared" si="8"/>
        <v>37644.4215</v>
      </c>
      <c r="H26" s="71">
        <f t="shared" si="8"/>
        <v>38209.08782</v>
      </c>
    </row>
    <row r="27">
      <c r="A27" s="1"/>
      <c r="B27" s="67" t="s">
        <v>101</v>
      </c>
      <c r="C27" s="71">
        <v>1000.0</v>
      </c>
      <c r="D27" s="71">
        <f t="shared" si="5"/>
        <v>12000</v>
      </c>
      <c r="E27" s="71">
        <f t="shared" ref="E27:H27" si="9">D27*(1+$C$28)</f>
        <v>12180</v>
      </c>
      <c r="F27" s="71">
        <f t="shared" si="9"/>
        <v>12362.7</v>
      </c>
      <c r="G27" s="71">
        <f t="shared" si="9"/>
        <v>12548.1405</v>
      </c>
      <c r="H27" s="71">
        <f t="shared" si="9"/>
        <v>12736.36261</v>
      </c>
    </row>
    <row r="28">
      <c r="A28" s="1"/>
      <c r="B28" s="67" t="s">
        <v>102</v>
      </c>
      <c r="C28" s="72">
        <v>0.015</v>
      </c>
      <c r="D28" s="1"/>
      <c r="E28" s="1"/>
      <c r="F28" s="1"/>
      <c r="G28" s="1"/>
      <c r="H28" s="1"/>
    </row>
    <row r="29">
      <c r="A29" s="1"/>
      <c r="B29" s="1"/>
      <c r="C29" s="1"/>
      <c r="D29" s="26"/>
      <c r="E29" s="26"/>
      <c r="F29" s="26"/>
      <c r="G29" s="26"/>
      <c r="H29" s="26"/>
    </row>
    <row r="30">
      <c r="A30" s="1"/>
      <c r="B30" s="1"/>
      <c r="C30" s="1"/>
      <c r="D30" s="1"/>
      <c r="E30" s="1"/>
      <c r="F30" s="1"/>
      <c r="G30" s="1"/>
      <c r="H30" s="1"/>
    </row>
    <row r="31">
      <c r="A31" s="1"/>
      <c r="B31" s="68" t="s">
        <v>103</v>
      </c>
      <c r="C31" s="1"/>
      <c r="D31" s="69">
        <f t="shared" ref="D31:H31" si="10">D9+D13+D18+D23+D24+D25+D26+D27</f>
        <v>266760</v>
      </c>
      <c r="E31" s="69">
        <f t="shared" si="10"/>
        <v>349657.8</v>
      </c>
      <c r="F31" s="69">
        <f t="shared" si="10"/>
        <v>394566.387</v>
      </c>
      <c r="G31" s="69">
        <f t="shared" si="10"/>
        <v>402165.3369</v>
      </c>
      <c r="H31" s="69">
        <f t="shared" si="10"/>
        <v>409911.8801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2.38"/>
  </cols>
  <sheetData>
    <row r="1">
      <c r="A1" s="1"/>
      <c r="B1" s="67" t="s">
        <v>104</v>
      </c>
      <c r="C1" s="75">
        <v>0.28</v>
      </c>
      <c r="D1" s="1"/>
      <c r="E1" s="1"/>
      <c r="F1" s="1"/>
      <c r="G1" s="1"/>
    </row>
    <row r="2">
      <c r="A2" s="1"/>
      <c r="B2" s="67" t="s">
        <v>105</v>
      </c>
      <c r="C2" s="75">
        <v>0.1</v>
      </c>
      <c r="D2" s="1"/>
      <c r="E2" s="1"/>
      <c r="F2" s="1"/>
      <c r="G2" s="1"/>
    </row>
    <row r="3">
      <c r="A3" s="1"/>
      <c r="B3" s="1"/>
      <c r="C3" s="1"/>
      <c r="D3" s="1"/>
      <c r="E3" s="1"/>
      <c r="F3" s="1"/>
      <c r="G3" s="1"/>
    </row>
    <row r="4">
      <c r="A4" s="1"/>
      <c r="B4" s="76" t="s">
        <v>106</v>
      </c>
      <c r="C4" s="77" t="s">
        <v>17</v>
      </c>
      <c r="D4" s="77" t="s">
        <v>18</v>
      </c>
      <c r="E4" s="77" t="s">
        <v>19</v>
      </c>
      <c r="F4" s="77" t="s">
        <v>20</v>
      </c>
      <c r="G4" s="77" t="s">
        <v>21</v>
      </c>
    </row>
    <row r="5">
      <c r="A5" s="1"/>
      <c r="B5" s="67" t="s">
        <v>107</v>
      </c>
      <c r="C5" s="60">
        <f>Ingresos!D9</f>
        <v>2950000</v>
      </c>
      <c r="D5" s="60">
        <f>Ingresos!E9</f>
        <v>2476000</v>
      </c>
      <c r="E5" s="60">
        <f>Ingresos!F9</f>
        <v>2438000</v>
      </c>
      <c r="F5" s="60">
        <f>Ingresos!G9</f>
        <v>2820000</v>
      </c>
      <c r="G5" s="60">
        <f>Ingresos!H9</f>
        <v>2888000</v>
      </c>
    </row>
    <row r="6">
      <c r="A6" s="1"/>
      <c r="B6" s="67" t="s">
        <v>108</v>
      </c>
      <c r="C6" s="60">
        <f>Ingresos!D24</f>
        <v>2528000</v>
      </c>
      <c r="D6" s="60">
        <f>Ingresos!E24</f>
        <v>2061000</v>
      </c>
      <c r="E6" s="60">
        <f>Ingresos!F24</f>
        <v>1903000</v>
      </c>
      <c r="F6" s="60">
        <f>Ingresos!G24</f>
        <v>2198000</v>
      </c>
      <c r="G6" s="60">
        <f>Ingresos!H24</f>
        <v>2239500</v>
      </c>
    </row>
    <row r="7">
      <c r="A7" s="1"/>
      <c r="B7" s="67" t="s">
        <v>109</v>
      </c>
      <c r="C7" s="78">
        <f>-Ingresos!D46</f>
        <v>24500</v>
      </c>
      <c r="D7" s="78">
        <f>-Ingresos!E46</f>
        <v>-22700</v>
      </c>
      <c r="E7" s="78">
        <f>-Ingresos!F46</f>
        <v>-1500</v>
      </c>
      <c r="F7" s="78">
        <f>-Ingresos!G46</f>
        <v>-2000</v>
      </c>
      <c r="G7" s="60">
        <f>-Ingresos!H46</f>
        <v>900</v>
      </c>
    </row>
    <row r="8">
      <c r="A8" s="1"/>
      <c r="B8" s="58" t="s">
        <v>110</v>
      </c>
      <c r="C8" s="61">
        <f t="shared" ref="C8:G8" si="1">C5-C6+C7</f>
        <v>446500</v>
      </c>
      <c r="D8" s="61">
        <f t="shared" si="1"/>
        <v>392300</v>
      </c>
      <c r="E8" s="61">
        <f t="shared" si="1"/>
        <v>533500</v>
      </c>
      <c r="F8" s="61">
        <f t="shared" si="1"/>
        <v>620000</v>
      </c>
      <c r="G8" s="61">
        <f t="shared" si="1"/>
        <v>649400</v>
      </c>
    </row>
    <row r="9">
      <c r="A9" s="1"/>
      <c r="B9" s="67" t="s">
        <v>111</v>
      </c>
      <c r="C9" s="60">
        <f>Gastos!D9</f>
        <v>144000</v>
      </c>
      <c r="D9" s="60">
        <f>Gastos!E9</f>
        <v>224726.4</v>
      </c>
      <c r="E9" s="60">
        <f>Gastos!F9</f>
        <v>267424.416</v>
      </c>
      <c r="F9" s="60">
        <f>Gastos!G9</f>
        <v>272772.9043</v>
      </c>
      <c r="G9" s="60">
        <f>Gastos!H9</f>
        <v>278228.3624</v>
      </c>
    </row>
    <row r="10">
      <c r="A10" s="1"/>
      <c r="B10" s="67" t="s">
        <v>112</v>
      </c>
      <c r="C10" s="60">
        <f>Gastos!D13</f>
        <v>36000</v>
      </c>
      <c r="D10" s="60">
        <f>Gastos!E13</f>
        <v>36720</v>
      </c>
      <c r="E10" s="60">
        <f>Gastos!F13</f>
        <v>37454.4</v>
      </c>
      <c r="F10" s="60">
        <f>Gastos!G13</f>
        <v>38203.488</v>
      </c>
      <c r="G10" s="60">
        <f>Gastos!H13</f>
        <v>38967.55776</v>
      </c>
    </row>
    <row r="11">
      <c r="A11" s="1"/>
      <c r="B11" s="67" t="s">
        <v>113</v>
      </c>
      <c r="C11" s="60">
        <f>Gastos!D$18</f>
        <v>30000</v>
      </c>
      <c r="D11" s="60">
        <f>Gastos!E$18</f>
        <v>30600</v>
      </c>
      <c r="E11" s="60">
        <f>Gastos!F$18</f>
        <v>31212</v>
      </c>
      <c r="F11" s="60">
        <f>Gastos!G$18</f>
        <v>31836.24</v>
      </c>
      <c r="G11" s="60">
        <f>Gastos!H$18</f>
        <v>32472.9648</v>
      </c>
    </row>
    <row r="12">
      <c r="A12" s="1"/>
      <c r="B12" s="67" t="s">
        <v>114</v>
      </c>
      <c r="C12" s="60">
        <f>SUM(Gastos!D$23:D$27)</f>
        <v>56760</v>
      </c>
      <c r="D12" s="60">
        <f>SUM(Gastos!E$23:E$27)</f>
        <v>57611.4</v>
      </c>
      <c r="E12" s="60">
        <f>SUM(Gastos!F$23:F$27)</f>
        <v>58475.571</v>
      </c>
      <c r="F12" s="60">
        <f>SUM(Gastos!G$23:G$27)</f>
        <v>59352.70457</v>
      </c>
      <c r="G12" s="60">
        <f>SUM(Gastos!H$23:H$27)</f>
        <v>60242.99513</v>
      </c>
    </row>
    <row r="13">
      <c r="A13" s="1"/>
      <c r="B13" s="58" t="s">
        <v>115</v>
      </c>
      <c r="C13" s="79">
        <f t="shared" ref="C13:G13" si="2">C5-C6+C7-C9-C10-C12-C11</f>
        <v>179740</v>
      </c>
      <c r="D13" s="61">
        <f t="shared" si="2"/>
        <v>42642.2</v>
      </c>
      <c r="E13" s="61">
        <f t="shared" si="2"/>
        <v>138933.613</v>
      </c>
      <c r="F13" s="61">
        <f t="shared" si="2"/>
        <v>217834.6631</v>
      </c>
      <c r="G13" s="61">
        <f t="shared" si="2"/>
        <v>239488.1199</v>
      </c>
    </row>
    <row r="14">
      <c r="A14" s="1"/>
      <c r="B14" s="67" t="s">
        <v>116</v>
      </c>
      <c r="C14" s="60">
        <f>Inversiones!E32</f>
        <v>40166.66667</v>
      </c>
      <c r="D14" s="60">
        <f>Inversiones!F32</f>
        <v>48204.7619</v>
      </c>
      <c r="E14" s="60">
        <f>Inversiones!G32</f>
        <v>59904.7619</v>
      </c>
      <c r="F14" s="60">
        <f>Inversiones!H32</f>
        <v>75628.57143</v>
      </c>
      <c r="G14" s="60">
        <f>Inversiones!I32</f>
        <v>91485.71429</v>
      </c>
    </row>
    <row r="15">
      <c r="A15" s="1"/>
      <c r="B15" s="58" t="s">
        <v>117</v>
      </c>
      <c r="C15" s="79">
        <f t="shared" ref="C15:G15" si="3">C13-C14</f>
        <v>139573.3333</v>
      </c>
      <c r="D15" s="61">
        <f t="shared" si="3"/>
        <v>-5562.561905</v>
      </c>
      <c r="E15" s="61">
        <f t="shared" si="3"/>
        <v>79028.8511</v>
      </c>
      <c r="F15" s="61">
        <f t="shared" si="3"/>
        <v>142206.0917</v>
      </c>
      <c r="G15" s="61">
        <f t="shared" si="3"/>
        <v>148002.4056</v>
      </c>
    </row>
    <row r="16">
      <c r="A16" s="1"/>
      <c r="B16" s="67" t="s">
        <v>118</v>
      </c>
      <c r="C16" s="60">
        <f>'Financiación'!F32</f>
        <v>11600</v>
      </c>
      <c r="D16" s="60">
        <f>'Financiación'!G32</f>
        <v>11393.17085</v>
      </c>
      <c r="E16" s="60">
        <f>'Financiación'!H32</f>
        <v>11178.06853</v>
      </c>
      <c r="F16" s="60">
        <f>'Financiación'!I32</f>
        <v>10954.36213</v>
      </c>
      <c r="G16" s="60">
        <f>'Financiación'!J32</f>
        <v>10721.70746</v>
      </c>
    </row>
    <row r="17">
      <c r="A17" s="1"/>
      <c r="B17" s="58" t="s">
        <v>119</v>
      </c>
      <c r="C17" s="79">
        <f t="shared" ref="C17:G17" si="4">C15-C16</f>
        <v>127973.3333</v>
      </c>
      <c r="D17" s="61">
        <f t="shared" si="4"/>
        <v>-16955.73275</v>
      </c>
      <c r="E17" s="61">
        <f t="shared" si="4"/>
        <v>67850.78256</v>
      </c>
      <c r="F17" s="61">
        <f t="shared" si="4"/>
        <v>131251.7296</v>
      </c>
      <c r="G17" s="61">
        <f t="shared" si="4"/>
        <v>137280.6982</v>
      </c>
    </row>
    <row r="18">
      <c r="A18" s="1"/>
      <c r="B18" s="67" t="s">
        <v>104</v>
      </c>
      <c r="C18" s="78">
        <f t="shared" ref="C18:G18" si="5">C17*$C$1</f>
        <v>35832.53333</v>
      </c>
      <c r="D18" s="60">
        <f t="shared" si="5"/>
        <v>-4747.605171</v>
      </c>
      <c r="E18" s="60">
        <f t="shared" si="5"/>
        <v>18998.21912</v>
      </c>
      <c r="F18" s="60">
        <f t="shared" si="5"/>
        <v>36750.48428</v>
      </c>
      <c r="G18" s="60">
        <f t="shared" si="5"/>
        <v>38438.59548</v>
      </c>
    </row>
    <row r="19">
      <c r="A19" s="1"/>
      <c r="B19" s="58" t="s">
        <v>120</v>
      </c>
      <c r="C19" s="79">
        <f t="shared" ref="C19:G19" si="6">C17-C18</f>
        <v>92140.8</v>
      </c>
      <c r="D19" s="61">
        <f t="shared" si="6"/>
        <v>-12208.12758</v>
      </c>
      <c r="E19" s="61">
        <f t="shared" si="6"/>
        <v>48852.56344</v>
      </c>
      <c r="F19" s="61">
        <f t="shared" si="6"/>
        <v>94501.24528</v>
      </c>
      <c r="G19" s="61">
        <f t="shared" si="6"/>
        <v>98842.10267</v>
      </c>
    </row>
    <row r="20">
      <c r="A20" s="1"/>
      <c r="B20" s="1"/>
      <c r="C20" s="26"/>
      <c r="D20" s="26"/>
      <c r="E20" s="26"/>
      <c r="F20" s="26"/>
      <c r="G20" s="26"/>
    </row>
    <row r="21">
      <c r="A21" s="1"/>
      <c r="B21" s="1"/>
      <c r="C21" s="26"/>
      <c r="D21" s="26"/>
      <c r="E21" s="26"/>
      <c r="F21" s="26"/>
      <c r="G21" s="26"/>
    </row>
    <row r="22">
      <c r="A22" s="1"/>
      <c r="B22" s="76" t="s">
        <v>121</v>
      </c>
      <c r="C22" s="26"/>
      <c r="D22" s="26"/>
      <c r="E22" s="26"/>
      <c r="F22" s="26"/>
      <c r="G22" s="26"/>
    </row>
    <row r="23">
      <c r="A23" s="1"/>
      <c r="B23" s="67" t="s">
        <v>122</v>
      </c>
      <c r="C23" s="60">
        <f t="shared" ref="C23:G23" si="7">IF(C19&gt;0,C19*$C$2,0)</f>
        <v>9214.08</v>
      </c>
      <c r="D23" s="60">
        <f t="shared" si="7"/>
        <v>0</v>
      </c>
      <c r="E23" s="60">
        <f t="shared" si="7"/>
        <v>4885.256344</v>
      </c>
      <c r="F23" s="60">
        <f t="shared" si="7"/>
        <v>9450.124528</v>
      </c>
      <c r="G23" s="60">
        <f t="shared" si="7"/>
        <v>9884.210267</v>
      </c>
    </row>
    <row r="24">
      <c r="A24" s="1"/>
      <c r="B24" s="67" t="s">
        <v>123</v>
      </c>
      <c r="C24" s="60">
        <f t="shared" ref="C24:G24" si="8">IF(C19&gt;0,C19-C23,0)</f>
        <v>82926.72</v>
      </c>
      <c r="D24" s="60">
        <f t="shared" si="8"/>
        <v>0</v>
      </c>
      <c r="E24" s="60">
        <f t="shared" si="8"/>
        <v>43967.3071</v>
      </c>
      <c r="F24" s="60">
        <f t="shared" si="8"/>
        <v>85051.12076</v>
      </c>
      <c r="G24" s="60">
        <f t="shared" si="8"/>
        <v>88957.8924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9.0"/>
  </cols>
  <sheetData>
    <row r="1">
      <c r="A1" s="1"/>
      <c r="B1" s="80" t="s">
        <v>124</v>
      </c>
      <c r="C1" s="81" t="s">
        <v>38</v>
      </c>
      <c r="D1" s="82" t="s">
        <v>125</v>
      </c>
      <c r="E1" s="82" t="s">
        <v>126</v>
      </c>
      <c r="F1" s="82" t="s">
        <v>127</v>
      </c>
      <c r="G1" s="82" t="s">
        <v>128</v>
      </c>
      <c r="H1" s="82" t="s">
        <v>129</v>
      </c>
    </row>
    <row r="2">
      <c r="A2" s="1"/>
      <c r="B2" s="83" t="s">
        <v>130</v>
      </c>
      <c r="C2" s="1"/>
      <c r="D2" s="1"/>
      <c r="E2" s="1"/>
      <c r="F2" s="1"/>
      <c r="G2" s="1"/>
      <c r="H2" s="1"/>
    </row>
    <row r="3">
      <c r="A3" s="1"/>
      <c r="B3" s="67" t="s">
        <v>131</v>
      </c>
      <c r="C3" s="60">
        <f>Inversiones!D24</f>
        <v>245000</v>
      </c>
      <c r="D3" s="60">
        <f>Inversiones!E24</f>
        <v>278000</v>
      </c>
      <c r="E3" s="60">
        <f>Inversiones!F24</f>
        <v>306000</v>
      </c>
      <c r="F3" s="60">
        <f>Inversiones!G24</f>
        <v>357500</v>
      </c>
      <c r="G3" s="60">
        <f>Inversiones!H24</f>
        <v>414500</v>
      </c>
      <c r="H3" s="60">
        <f>Inversiones!I24</f>
        <v>485500</v>
      </c>
    </row>
    <row r="4">
      <c r="A4" s="1"/>
      <c r="B4" s="67" t="s">
        <v>116</v>
      </c>
      <c r="C4" s="60">
        <f>Inversiones!D32</f>
        <v>0</v>
      </c>
      <c r="D4" s="60">
        <f>Inversiones!E40</f>
        <v>40166.66667</v>
      </c>
      <c r="E4" s="60">
        <f>Inversiones!F40</f>
        <v>88371.42857</v>
      </c>
      <c r="F4" s="60">
        <f>Inversiones!G40</f>
        <v>148276.1905</v>
      </c>
      <c r="G4" s="60">
        <f>Inversiones!H40</f>
        <v>223904.7619</v>
      </c>
      <c r="H4" s="60">
        <f>Inversiones!I40</f>
        <v>315390.4762</v>
      </c>
    </row>
    <row r="5">
      <c r="A5" s="1"/>
      <c r="B5" s="58" t="s">
        <v>37</v>
      </c>
      <c r="C5" s="61">
        <f t="shared" ref="C5:H5" si="1">C3-C4</f>
        <v>245000</v>
      </c>
      <c r="D5" s="61">
        <f t="shared" si="1"/>
        <v>237833.3333</v>
      </c>
      <c r="E5" s="61">
        <f t="shared" si="1"/>
        <v>217628.5714</v>
      </c>
      <c r="F5" s="61">
        <f t="shared" si="1"/>
        <v>209223.8095</v>
      </c>
      <c r="G5" s="61">
        <f t="shared" si="1"/>
        <v>190595.2381</v>
      </c>
      <c r="H5" s="61">
        <f t="shared" si="1"/>
        <v>170109.5238</v>
      </c>
    </row>
    <row r="6">
      <c r="A6" s="1"/>
      <c r="B6" s="1"/>
      <c r="C6" s="26"/>
      <c r="D6" s="26"/>
      <c r="E6" s="26"/>
      <c r="F6" s="26"/>
      <c r="G6" s="26"/>
      <c r="H6" s="26"/>
    </row>
    <row r="7">
      <c r="A7" s="1"/>
      <c r="B7" s="67" t="s">
        <v>132</v>
      </c>
      <c r="C7" s="60">
        <f>Inversiones!D11</f>
        <v>0</v>
      </c>
      <c r="D7" s="60">
        <f>Ingresos!D39</f>
        <v>-24500</v>
      </c>
      <c r="E7" s="60">
        <f>Ingresos!E39</f>
        <v>-1800</v>
      </c>
      <c r="F7" s="60">
        <f>Ingresos!F39</f>
        <v>-300</v>
      </c>
      <c r="G7" s="60">
        <f>Ingresos!G39</f>
        <v>1700</v>
      </c>
      <c r="H7" s="60">
        <f>Ingresos!H39</f>
        <v>800</v>
      </c>
    </row>
    <row r="8">
      <c r="A8" s="1"/>
      <c r="B8" s="67" t="s">
        <v>133</v>
      </c>
      <c r="C8" s="60">
        <v>0.0</v>
      </c>
      <c r="D8" s="60">
        <f>Ingresos!D13</f>
        <v>404109.589</v>
      </c>
      <c r="E8" s="60">
        <f>Ingresos!E13</f>
        <v>339178.0822</v>
      </c>
      <c r="F8" s="60">
        <f>Ingresos!F13</f>
        <v>333972.6027</v>
      </c>
      <c r="G8" s="60">
        <f>Ingresos!G13</f>
        <v>386301.3699</v>
      </c>
      <c r="H8" s="60">
        <f>Ingresos!H13</f>
        <v>395616.4384</v>
      </c>
    </row>
    <row r="9">
      <c r="A9" s="1"/>
      <c r="B9" s="67" t="s">
        <v>134</v>
      </c>
      <c r="C9" s="60">
        <f>Inversiones!D12</f>
        <v>335000</v>
      </c>
      <c r="D9" s="60">
        <f>IF('Tesorería'!C14&gt;0,'Tesorería'!C14,0)</f>
        <v>386614.4387</v>
      </c>
      <c r="E9" s="60">
        <f>IF('Tesorería'!D14&gt;0,'Tesorería'!D14,0)</f>
        <v>367492.4193</v>
      </c>
      <c r="F9" s="60">
        <f>IF('Tesorería'!E14&gt;0,'Tesorería'!E14,0)</f>
        <v>396333.4719</v>
      </c>
      <c r="G9" s="60">
        <f>IF('Tesorería'!F14&gt;0,'Tesorería'!F14,0)</f>
        <v>480278.9892</v>
      </c>
      <c r="H9" s="60">
        <f>IF('Tesorería'!G14&gt;0,'Tesorería'!G14,0)</f>
        <v>580943.4377</v>
      </c>
    </row>
    <row r="10">
      <c r="A10" s="1"/>
      <c r="B10" s="58" t="s">
        <v>135</v>
      </c>
      <c r="C10" s="61">
        <f t="shared" ref="C10:H10" si="2">SUM(C7:C9)</f>
        <v>335000</v>
      </c>
      <c r="D10" s="61">
        <f t="shared" si="2"/>
        <v>766224.0278</v>
      </c>
      <c r="E10" s="61">
        <f t="shared" si="2"/>
        <v>704870.5015</v>
      </c>
      <c r="F10" s="61">
        <f t="shared" si="2"/>
        <v>730006.0746</v>
      </c>
      <c r="G10" s="61">
        <f t="shared" si="2"/>
        <v>868280.3591</v>
      </c>
      <c r="H10" s="61">
        <f t="shared" si="2"/>
        <v>977359.876</v>
      </c>
    </row>
    <row r="11">
      <c r="A11" s="1"/>
      <c r="B11" s="1"/>
      <c r="C11" s="26"/>
      <c r="D11" s="26"/>
      <c r="E11" s="26"/>
      <c r="F11" s="26"/>
      <c r="G11" s="26"/>
      <c r="H11" s="26"/>
    </row>
    <row r="12">
      <c r="A12" s="1"/>
      <c r="B12" s="58" t="s">
        <v>136</v>
      </c>
      <c r="C12" s="61">
        <f t="shared" ref="C12:H12" si="3">C3-C4+C7+C8+C9</f>
        <v>580000</v>
      </c>
      <c r="D12" s="61">
        <f t="shared" si="3"/>
        <v>1004057.361</v>
      </c>
      <c r="E12" s="61">
        <f t="shared" si="3"/>
        <v>922499.0729</v>
      </c>
      <c r="F12" s="61">
        <f t="shared" si="3"/>
        <v>939229.8842</v>
      </c>
      <c r="G12" s="61">
        <f t="shared" si="3"/>
        <v>1058875.597</v>
      </c>
      <c r="H12" s="61">
        <f t="shared" si="3"/>
        <v>1147469.4</v>
      </c>
    </row>
    <row r="13">
      <c r="A13" s="1"/>
      <c r="B13" s="1"/>
      <c r="C13" s="26"/>
      <c r="D13" s="26"/>
      <c r="E13" s="26"/>
      <c r="F13" s="26"/>
      <c r="G13" s="26"/>
      <c r="H13" s="26"/>
    </row>
    <row r="14">
      <c r="A14" s="1"/>
      <c r="B14" s="83" t="s">
        <v>137</v>
      </c>
      <c r="C14" s="26"/>
      <c r="D14" s="26"/>
      <c r="E14" s="26"/>
      <c r="F14" s="26"/>
      <c r="G14" s="26"/>
      <c r="H14" s="26"/>
    </row>
    <row r="15">
      <c r="A15" s="1"/>
      <c r="B15" s="67" t="s">
        <v>138</v>
      </c>
      <c r="C15" s="60">
        <f>'Financiación'!E3</f>
        <v>290000</v>
      </c>
      <c r="D15" s="60">
        <f>C15+'Financiación'!F3</f>
        <v>290000</v>
      </c>
      <c r="E15" s="60">
        <f>D15+'Financiación'!G3</f>
        <v>290000</v>
      </c>
      <c r="F15" s="60">
        <f>E15+'Financiación'!H3</f>
        <v>290000</v>
      </c>
      <c r="G15" s="60">
        <f>F15+'Financiación'!I3</f>
        <v>290000</v>
      </c>
      <c r="H15" s="60">
        <f>G15+'Financiación'!J3</f>
        <v>290000</v>
      </c>
    </row>
    <row r="16">
      <c r="A16" s="1"/>
      <c r="B16" s="67" t="s">
        <v>139</v>
      </c>
      <c r="C16" s="26"/>
      <c r="D16" s="60">
        <f>PG!C24</f>
        <v>82926.72</v>
      </c>
      <c r="E16" s="60">
        <f>D16+PG!D24</f>
        <v>82926.72</v>
      </c>
      <c r="F16" s="60">
        <f>E16+PG!E24</f>
        <v>126894.0271</v>
      </c>
      <c r="G16" s="60">
        <f>F16+PG!F24</f>
        <v>211945.1479</v>
      </c>
      <c r="H16" s="60">
        <f>G16+PG!G24</f>
        <v>300903.0403</v>
      </c>
    </row>
    <row r="17">
      <c r="A17" s="1"/>
      <c r="B17" s="67" t="s">
        <v>140</v>
      </c>
      <c r="C17" s="26"/>
      <c r="D17" s="60">
        <f>IF(PG!C19&lt;0,PG!C19,0)</f>
        <v>0</v>
      </c>
      <c r="E17" s="60">
        <f>D17+IF(PG!D19&lt;0,PG!D19,0)</f>
        <v>-12208.12758</v>
      </c>
      <c r="F17" s="60">
        <f>E17+IF(PG!E19&lt;0,PG!E19,0)</f>
        <v>-12208.12758</v>
      </c>
      <c r="G17" s="60">
        <f>F17+IF(PG!F19&lt;0,PG!F19,0)</f>
        <v>-12208.12758</v>
      </c>
      <c r="H17" s="60">
        <f>G17+IF(PG!G19&lt;0,PG!G19,0)</f>
        <v>-12208.12758</v>
      </c>
    </row>
    <row r="18">
      <c r="A18" s="1"/>
      <c r="B18" s="67" t="s">
        <v>141</v>
      </c>
      <c r="C18" s="60">
        <f>'Financiación'!E24</f>
        <v>290000</v>
      </c>
      <c r="D18" s="60">
        <f>'Financiación'!F24</f>
        <v>284829.2713</v>
      </c>
      <c r="E18" s="60">
        <f>'Financiación'!G24</f>
        <v>279451.7134</v>
      </c>
      <c r="F18" s="60">
        <f>'Financiación'!H24</f>
        <v>273859.0531</v>
      </c>
      <c r="G18" s="60">
        <f>'Financiación'!I24</f>
        <v>268042.6865</v>
      </c>
      <c r="H18" s="60">
        <f>'Financiación'!J24</f>
        <v>261993.6652</v>
      </c>
    </row>
    <row r="19">
      <c r="A19" s="1"/>
      <c r="B19" s="58" t="s">
        <v>30</v>
      </c>
      <c r="C19" s="61">
        <f t="shared" ref="C19:H19" si="4">SUM(C15:C18)</f>
        <v>580000</v>
      </c>
      <c r="D19" s="61">
        <f t="shared" si="4"/>
        <v>657755.9913</v>
      </c>
      <c r="E19" s="61">
        <f t="shared" si="4"/>
        <v>640170.3058</v>
      </c>
      <c r="F19" s="61">
        <f t="shared" si="4"/>
        <v>678544.9527</v>
      </c>
      <c r="G19" s="61">
        <f t="shared" si="4"/>
        <v>757779.7068</v>
      </c>
      <c r="H19" s="61">
        <f t="shared" si="4"/>
        <v>840688.5779</v>
      </c>
    </row>
    <row r="20">
      <c r="A20" s="1"/>
      <c r="B20" s="1"/>
      <c r="C20" s="26"/>
      <c r="D20" s="26"/>
      <c r="E20" s="26"/>
      <c r="F20" s="26"/>
      <c r="G20" s="26"/>
      <c r="H20" s="26"/>
    </row>
    <row r="21">
      <c r="A21" s="1"/>
      <c r="B21" s="67" t="s">
        <v>142</v>
      </c>
      <c r="C21" s="26"/>
      <c r="D21" s="60">
        <f>Ingresos!D28</f>
        <v>346301.3699</v>
      </c>
      <c r="E21" s="60">
        <f>Ingresos!E28</f>
        <v>282328.7671</v>
      </c>
      <c r="F21" s="60">
        <f>Ingresos!F28</f>
        <v>260684.9315</v>
      </c>
      <c r="G21" s="60">
        <f>Ingresos!G28</f>
        <v>301095.8904</v>
      </c>
      <c r="H21" s="60">
        <f>Ingresos!H28</f>
        <v>306780.8219</v>
      </c>
    </row>
    <row r="22">
      <c r="A22" s="1"/>
      <c r="B22" s="67" t="s">
        <v>143</v>
      </c>
      <c r="C22" s="26"/>
      <c r="D22" s="60">
        <f>IF('Tesorería'!C14&lt;0,-'Tesorería'!C14,0)</f>
        <v>0</v>
      </c>
      <c r="E22" s="60">
        <f>IF('Tesorería'!D14&lt;0,-'Tesorería'!D14,0)</f>
        <v>0</v>
      </c>
      <c r="F22" s="60">
        <f>IF('Tesorería'!E14&lt;0,-'Tesorería'!E14,0)</f>
        <v>0</v>
      </c>
      <c r="G22" s="60">
        <f>IF('Tesorería'!F14&lt;0,-'Tesorería'!F14,0)</f>
        <v>0</v>
      </c>
      <c r="H22" s="60">
        <f>IF('Tesorería'!G14&lt;0,-'Tesorería'!G14,0)</f>
        <v>0</v>
      </c>
    </row>
    <row r="23">
      <c r="A23" s="1"/>
      <c r="B23" s="58" t="s">
        <v>34</v>
      </c>
      <c r="C23" s="61">
        <f t="shared" ref="C23:H23" si="5">SUM(C21:C22)</f>
        <v>0</v>
      </c>
      <c r="D23" s="61">
        <f t="shared" si="5"/>
        <v>346301.3699</v>
      </c>
      <c r="E23" s="61">
        <f t="shared" si="5"/>
        <v>282328.7671</v>
      </c>
      <c r="F23" s="61">
        <f t="shared" si="5"/>
        <v>260684.9315</v>
      </c>
      <c r="G23" s="61">
        <f t="shared" si="5"/>
        <v>301095.8904</v>
      </c>
      <c r="H23" s="61">
        <f t="shared" si="5"/>
        <v>306780.8219</v>
      </c>
    </row>
    <row r="24">
      <c r="A24" s="1"/>
      <c r="B24" s="1"/>
      <c r="C24" s="26"/>
      <c r="D24" s="26"/>
      <c r="E24" s="26"/>
      <c r="F24" s="26"/>
      <c r="G24" s="26"/>
      <c r="H24" s="26"/>
    </row>
    <row r="25">
      <c r="A25" s="1"/>
      <c r="B25" s="58" t="s">
        <v>144</v>
      </c>
      <c r="C25" s="61">
        <f t="shared" ref="C25:H25" si="6">C19+C23</f>
        <v>580000</v>
      </c>
      <c r="D25" s="61">
        <f t="shared" si="6"/>
        <v>1004057.361</v>
      </c>
      <c r="E25" s="61">
        <f t="shared" si="6"/>
        <v>922499.0729</v>
      </c>
      <c r="F25" s="61">
        <f t="shared" si="6"/>
        <v>939229.8842</v>
      </c>
      <c r="G25" s="61">
        <f t="shared" si="6"/>
        <v>1058875.597</v>
      </c>
      <c r="H25" s="61">
        <f t="shared" si="6"/>
        <v>1147469.4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4.0"/>
  </cols>
  <sheetData>
    <row r="1">
      <c r="A1" s="1"/>
      <c r="B1" s="84" t="s">
        <v>145</v>
      </c>
      <c r="C1" s="1"/>
      <c r="D1" s="1"/>
      <c r="E1" s="1"/>
      <c r="F1" s="1"/>
      <c r="G1" s="1"/>
    </row>
    <row r="2">
      <c r="A2" s="1"/>
      <c r="C2" s="85" t="s">
        <v>125</v>
      </c>
      <c r="D2" s="85" t="s">
        <v>126</v>
      </c>
      <c r="E2" s="85" t="s">
        <v>127</v>
      </c>
      <c r="F2" s="85" t="s">
        <v>128</v>
      </c>
      <c r="G2" s="85" t="s">
        <v>129</v>
      </c>
    </row>
    <row r="3">
      <c r="A3" s="1"/>
      <c r="B3" s="86" t="s">
        <v>146</v>
      </c>
      <c r="C3" s="87">
        <f>Inversiones!D12</f>
        <v>335000</v>
      </c>
      <c r="D3" s="87">
        <f t="shared" ref="D3:G3" si="1">C14</f>
        <v>386614.4387</v>
      </c>
      <c r="E3" s="87">
        <f t="shared" si="1"/>
        <v>367492.4193</v>
      </c>
      <c r="F3" s="87">
        <f t="shared" si="1"/>
        <v>396333.4719</v>
      </c>
      <c r="G3" s="87">
        <f t="shared" si="1"/>
        <v>480278.9892</v>
      </c>
    </row>
    <row r="4">
      <c r="A4" s="1"/>
      <c r="B4" s="86" t="s">
        <v>147</v>
      </c>
      <c r="C4" s="88">
        <f>PG!C19</f>
        <v>92140.8</v>
      </c>
      <c r="D4" s="87">
        <f>PG!D19</f>
        <v>-12208.12758</v>
      </c>
      <c r="E4" s="87">
        <f>PG!E19</f>
        <v>48852.56344</v>
      </c>
      <c r="F4" s="87">
        <f>PG!F19</f>
        <v>94501.24528</v>
      </c>
      <c r="G4" s="87">
        <f>PG!G19</f>
        <v>98842.10267</v>
      </c>
    </row>
    <row r="5">
      <c r="A5" s="1"/>
      <c r="B5" s="86" t="s">
        <v>148</v>
      </c>
      <c r="C5" s="87">
        <f>Inversiones!E32</f>
        <v>40166.66667</v>
      </c>
      <c r="D5" s="87">
        <f>Inversiones!F32</f>
        <v>48204.7619</v>
      </c>
      <c r="E5" s="87">
        <f>Inversiones!G32</f>
        <v>59904.7619</v>
      </c>
      <c r="F5" s="87">
        <f>Inversiones!H32</f>
        <v>75628.57143</v>
      </c>
      <c r="G5" s="87">
        <f>Inversiones!I32</f>
        <v>91485.71429</v>
      </c>
    </row>
    <row r="6">
      <c r="A6" s="1"/>
      <c r="B6" s="86" t="s">
        <v>149</v>
      </c>
      <c r="C6" s="87">
        <f>'Financiación'!F4</f>
        <v>0</v>
      </c>
      <c r="D6" s="87">
        <f>'Financiación'!G4</f>
        <v>0</v>
      </c>
      <c r="E6" s="87">
        <f>'Financiación'!H4</f>
        <v>0</v>
      </c>
      <c r="F6" s="87">
        <f>'Financiación'!I4</f>
        <v>0</v>
      </c>
      <c r="G6" s="87">
        <f>'Financiación'!J4</f>
        <v>0</v>
      </c>
    </row>
    <row r="7">
      <c r="A7" s="1"/>
      <c r="B7" s="86" t="s">
        <v>150</v>
      </c>
      <c r="C7" s="87">
        <f>'Financiación'!F3</f>
        <v>0</v>
      </c>
      <c r="D7" s="87">
        <f>'Financiación'!G3</f>
        <v>0</v>
      </c>
      <c r="E7" s="87">
        <f>'Financiación'!H3</f>
        <v>0</v>
      </c>
      <c r="F7" s="87">
        <f>'Financiación'!I3</f>
        <v>0</v>
      </c>
      <c r="G7" s="87">
        <f>'Financiación'!J3</f>
        <v>0</v>
      </c>
    </row>
    <row r="8">
      <c r="A8" s="1"/>
      <c r="B8" s="86" t="s">
        <v>151</v>
      </c>
      <c r="C8" s="87">
        <f>Ingresos!D28</f>
        <v>346301.3699</v>
      </c>
      <c r="D8" s="87">
        <f>Ingresos!E28-Ingresos!D28</f>
        <v>-63972.60274</v>
      </c>
      <c r="E8" s="87">
        <f>Ingresos!F28-Ingresos!E28</f>
        <v>-21643.83562</v>
      </c>
      <c r="F8" s="87">
        <f>Ingresos!G28-Ingresos!F28</f>
        <v>40410.9589</v>
      </c>
      <c r="G8" s="87">
        <f>Ingresos!H28-Ingresos!G28</f>
        <v>5684.931507</v>
      </c>
    </row>
    <row r="9">
      <c r="A9" s="1"/>
      <c r="B9" s="86" t="s">
        <v>152</v>
      </c>
      <c r="C9" s="87">
        <f>Ingresos!D13</f>
        <v>404109.589</v>
      </c>
      <c r="D9" s="87">
        <f>Ingresos!E13-Ingresos!D13</f>
        <v>-64931.50685</v>
      </c>
      <c r="E9" s="87">
        <f>Ingresos!F13-Ingresos!E13</f>
        <v>-5205.479452</v>
      </c>
      <c r="F9" s="87">
        <f>Ingresos!G13-Ingresos!F13</f>
        <v>52328.76712</v>
      </c>
      <c r="G9" s="87">
        <f>Ingresos!H13-Ingresos!G13</f>
        <v>9315.068493</v>
      </c>
    </row>
    <row r="10">
      <c r="A10" s="1"/>
      <c r="B10" s="86" t="s">
        <v>153</v>
      </c>
      <c r="C10" s="87">
        <f>PG!C23</f>
        <v>9214.08</v>
      </c>
      <c r="D10" s="87">
        <f>PG!D23</f>
        <v>0</v>
      </c>
      <c r="E10" s="87">
        <f>PG!E23</f>
        <v>4885.256344</v>
      </c>
      <c r="F10" s="87">
        <f>PG!F23</f>
        <v>9450.124528</v>
      </c>
      <c r="G10" s="87">
        <f>PG!G23</f>
        <v>9884.210267</v>
      </c>
    </row>
    <row r="11">
      <c r="A11" s="1"/>
      <c r="B11" s="86" t="s">
        <v>154</v>
      </c>
      <c r="C11" s="87">
        <f>'Financiación'!F40</f>
        <v>5170.728749</v>
      </c>
      <c r="D11" s="87">
        <f>'Financiación'!G40</f>
        <v>5377.557899</v>
      </c>
      <c r="E11" s="87">
        <f>'Financiación'!H40</f>
        <v>5592.660215</v>
      </c>
      <c r="F11" s="87">
        <f>'Financiación'!I40</f>
        <v>5816.366623</v>
      </c>
      <c r="G11" s="87">
        <f>'Financiación'!J40</f>
        <v>6049.021288</v>
      </c>
    </row>
    <row r="12">
      <c r="A12" s="1"/>
      <c r="B12" s="86" t="s">
        <v>155</v>
      </c>
      <c r="C12" s="87">
        <f>Inversiones!E9</f>
        <v>33000</v>
      </c>
      <c r="D12" s="87">
        <f>Inversiones!F9</f>
        <v>28000</v>
      </c>
      <c r="E12" s="87">
        <f>Inversiones!G9</f>
        <v>51500</v>
      </c>
      <c r="F12" s="87">
        <f>Inversiones!H9</f>
        <v>57000</v>
      </c>
      <c r="G12" s="87">
        <f>Inversiones!I9</f>
        <v>71000</v>
      </c>
    </row>
    <row r="13">
      <c r="A13" s="1"/>
      <c r="B13" s="86" t="s">
        <v>156</v>
      </c>
      <c r="C13" s="87">
        <f>Ingresos!D46</f>
        <v>-24500</v>
      </c>
      <c r="D13" s="87">
        <f>Ingresos!E46</f>
        <v>22700</v>
      </c>
      <c r="E13" s="87">
        <f>Ingresos!F46</f>
        <v>1500</v>
      </c>
      <c r="F13" s="87">
        <f>Ingresos!G46</f>
        <v>2000</v>
      </c>
      <c r="G13" s="88">
        <f>Ingresos!H46</f>
        <v>-900</v>
      </c>
    </row>
    <row r="14">
      <c r="A14" s="1"/>
      <c r="B14" s="89" t="s">
        <v>157</v>
      </c>
      <c r="C14" s="90">
        <f t="shared" ref="C14:G14" si="2">C3+C4+C5+C6+C7+C8-C9-C10-C11-C12-C13</f>
        <v>386614.4387</v>
      </c>
      <c r="D14" s="90">
        <f t="shared" si="2"/>
        <v>367492.4193</v>
      </c>
      <c r="E14" s="90">
        <f t="shared" si="2"/>
        <v>396333.4719</v>
      </c>
      <c r="F14" s="90">
        <f t="shared" si="2"/>
        <v>480278.9892</v>
      </c>
      <c r="G14" s="90">
        <f t="shared" si="2"/>
        <v>580943.4377</v>
      </c>
    </row>
  </sheetData>
  <mergeCells count="1">
    <mergeCell ref="B1:B2"/>
  </mergeCells>
  <drawing r:id="rId1"/>
</worksheet>
</file>